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camsys-my.sharepoint.com/personal/parmstrong_camsys_com/Documents/Documents/Illinois/CDOT/RAISE 2022/Final Submission/Appendices/"/>
    </mc:Choice>
  </mc:AlternateContent>
  <xr:revisionPtr revIDLastSave="50" documentId="8_{86A6A89B-1C21-4F3A-9DB6-39B135B31FA6}" xr6:coauthVersionLast="47" xr6:coauthVersionMax="47" xr10:uidLastSave="{70CC6C5C-476F-43F1-A747-8F7D452C8F70}"/>
  <bookViews>
    <workbookView xWindow="-110" yWindow="-110" windowWidth="19420" windowHeight="10420" xr2:uid="{7126CFC7-E73C-492A-B9CD-EB182BE6232F}"/>
  </bookViews>
  <sheets>
    <sheet name="Title Sheet" sheetId="16" r:id="rId1"/>
    <sheet name="About the Spreadsheet Tabs" sheetId="18" r:id="rId2"/>
    <sheet name="BCA Summary" sheetId="13" r:id="rId3"/>
    <sheet name="Default Values" sheetId="17" r:id="rId4"/>
    <sheet name="BCA Summary Nominal" sheetId="19" r:id="rId5"/>
    <sheet name="BCA Summary Discounted" sheetId="20" r:id="rId6"/>
    <sheet name="Project Capital Costs" sheetId="15" r:id="rId7"/>
    <sheet name="O&amp;M Costs" sheetId="21" r:id="rId8"/>
    <sheet name="Traffic Safety Benefits" sheetId="8" r:id="rId9"/>
    <sheet name="Property Value Benefits" sheetId="9" r:id="rId10"/>
    <sheet name="Remediation Benefits" sheetId="1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3" i="8" l="1"/>
  <c r="I23" i="8"/>
  <c r="K23" i="8"/>
  <c r="K43" i="8"/>
  <c r="G5" i="8" s="1"/>
  <c r="C12" i="13" s="1"/>
  <c r="J19" i="15"/>
  <c r="G24" i="15"/>
  <c r="G25" i="15"/>
  <c r="G26" i="15" s="1"/>
  <c r="G23" i="15"/>
  <c r="C7" i="13" l="1"/>
  <c r="C5" i="13"/>
  <c r="D11" i="13"/>
  <c r="D9" i="19" a="1"/>
  <c r="D9" i="19" s="1"/>
  <c r="D33" i="19" s="1"/>
  <c r="I5" i="20"/>
  <c r="I6" i="20"/>
  <c r="I7" i="20"/>
  <c r="I8" i="20"/>
  <c r="I4" i="20"/>
  <c r="H28" i="20"/>
  <c r="H5" i="20"/>
  <c r="H6" i="20"/>
  <c r="H7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4" i="20"/>
  <c r="H5" i="19"/>
  <c r="H6" i="19"/>
  <c r="H7" i="19"/>
  <c r="H8" i="19"/>
  <c r="H4" i="19"/>
  <c r="G5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4" i="19"/>
  <c r="C11" i="13"/>
  <c r="C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E26" i="21" s="1"/>
  <c r="D9" i="20" a="1"/>
  <c r="D9" i="20" s="1"/>
  <c r="C9" i="19" a="1"/>
  <c r="C9" i="19" s="1"/>
  <c r="F9" i="19"/>
  <c r="E9" i="19"/>
  <c r="H32" i="12"/>
  <c r="H25" i="19" l="1"/>
  <c r="H17" i="19"/>
  <c r="H24" i="19"/>
  <c r="H16" i="19"/>
  <c r="H23" i="19"/>
  <c r="H15" i="19"/>
  <c r="H22" i="19"/>
  <c r="H14" i="19"/>
  <c r="H21" i="19"/>
  <c r="H13" i="19"/>
  <c r="H20" i="19"/>
  <c r="H12" i="19"/>
  <c r="H27" i="19"/>
  <c r="H19" i="19"/>
  <c r="H11" i="19"/>
  <c r="H26" i="19"/>
  <c r="H18" i="19"/>
  <c r="H10" i="19"/>
  <c r="D13" i="13"/>
  <c r="G11" i="15"/>
  <c r="G6" i="15" l="1"/>
  <c r="C14" i="12"/>
  <c r="C16" i="12" s="1"/>
  <c r="C17" i="12" s="1"/>
  <c r="C13" i="9"/>
  <c r="M7" i="15"/>
  <c r="J25" i="15" s="1"/>
  <c r="G8" i="15"/>
  <c r="G15" i="15"/>
  <c r="G16" i="15" s="1"/>
  <c r="J21" i="15" s="1"/>
  <c r="G9" i="15"/>
  <c r="J20" i="15" s="1"/>
  <c r="B2" i="12" l="1"/>
  <c r="B2" i="9"/>
  <c r="B2" i="8"/>
  <c r="B2" i="15"/>
  <c r="B2" i="13"/>
  <c r="F33" i="20"/>
  <c r="G33" i="20"/>
  <c r="A1" i="20"/>
  <c r="C33" i="19"/>
  <c r="A1" i="19" l="1"/>
  <c r="C15" i="13"/>
  <c r="C19" i="13" s="1"/>
  <c r="A2" i="17"/>
  <c r="A2" i="18"/>
  <c r="C17" i="13" l="1"/>
  <c r="C21" i="15"/>
  <c r="J12" i="15"/>
  <c r="J8" i="15"/>
  <c r="J6" i="15"/>
  <c r="F12" i="12"/>
  <c r="J15" i="15" l="1"/>
  <c r="J14" i="15"/>
  <c r="J17" i="15" s="1"/>
  <c r="J24" i="15" s="1"/>
  <c r="F33" i="19"/>
  <c r="H12" i="12"/>
  <c r="D5" i="12" s="1"/>
  <c r="C14" i="13" s="1"/>
  <c r="F11" i="9"/>
  <c r="D33" i="20"/>
  <c r="J10" i="15"/>
  <c r="J22" i="15"/>
  <c r="C8" i="20" l="1"/>
  <c r="H8" i="20" s="1"/>
  <c r="H33" i="20" s="1"/>
  <c r="J16" i="15"/>
  <c r="H11" i="9"/>
  <c r="H31" i="9" s="1"/>
  <c r="C15" i="9" s="1"/>
  <c r="E33" i="19"/>
  <c r="J23" i="15"/>
  <c r="J26" i="15" s="1"/>
  <c r="D5" i="13" s="1"/>
  <c r="D14" i="13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D19" i="8"/>
  <c r="D20" i="8" s="1"/>
  <c r="C19" i="8"/>
  <c r="C20" i="8" s="1"/>
  <c r="B33" i="19" l="1"/>
  <c r="D4" i="9"/>
  <c r="C13" i="13" s="1"/>
  <c r="C16" i="9"/>
  <c r="C33" i="20"/>
  <c r="D7" i="13"/>
  <c r="C21" i="8"/>
  <c r="C22" i="8" s="1"/>
  <c r="C28" i="8" s="1"/>
  <c r="D21" i="8"/>
  <c r="D22" i="8" s="1"/>
  <c r="M23" i="8" l="1"/>
  <c r="M43" i="8" l="1"/>
  <c r="H5" i="8" s="1"/>
  <c r="D12" i="13" s="1"/>
  <c r="D15" i="13" s="1"/>
  <c r="E9" i="20" a="1"/>
  <c r="E9" i="20" s="1"/>
  <c r="I9" i="20" s="1"/>
  <c r="H9" i="19"/>
  <c r="H28" i="19"/>
  <c r="D19" i="13" l="1"/>
  <c r="D17" i="13"/>
  <c r="H33" i="19"/>
  <c r="G33" i="19"/>
  <c r="I14" i="20"/>
  <c r="I17" i="20"/>
  <c r="I27" i="20"/>
  <c r="I26" i="20"/>
  <c r="I19" i="20"/>
  <c r="I10" i="20"/>
  <c r="I33" i="20" s="1"/>
  <c r="I12" i="20"/>
  <c r="I23" i="20"/>
  <c r="I16" i="20"/>
  <c r="I24" i="20"/>
  <c r="I25" i="20"/>
  <c r="I20" i="20"/>
  <c r="I21" i="20"/>
  <c r="I22" i="20"/>
  <c r="I15" i="20"/>
  <c r="I18" i="20"/>
  <c r="I28" i="20"/>
  <c r="I11" i="20"/>
  <c r="I13" i="20"/>
  <c r="E33" i="2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<sst xmlns="http://schemas.openxmlformats.org/spreadsheetml/2006/main" count="302" uniqueCount="177">
  <si>
    <t>Costs</t>
  </si>
  <si>
    <t>Benefits</t>
  </si>
  <si>
    <t>Traffic Safety Benefits</t>
  </si>
  <si>
    <t>Property Value Benefits</t>
  </si>
  <si>
    <t>Build</t>
  </si>
  <si>
    <t>Environmental Remediation</t>
  </si>
  <si>
    <t>Bridge Rehabilitation</t>
  </si>
  <si>
    <t>Retaining Wall Rehabailitation</t>
  </si>
  <si>
    <t>Site Clearing and Preparation</t>
  </si>
  <si>
    <t>Landscaping</t>
  </si>
  <si>
    <t>Pathway</t>
  </si>
  <si>
    <t>Drainage</t>
  </si>
  <si>
    <t>Signage</t>
  </si>
  <si>
    <t>Lighting</t>
  </si>
  <si>
    <t>Extra</t>
  </si>
  <si>
    <t>Construction Overhead</t>
  </si>
  <si>
    <t>Activity Sites</t>
  </si>
  <si>
    <t>Construction and Design Subtotal</t>
  </si>
  <si>
    <t>Right-of-Way Acquisition</t>
  </si>
  <si>
    <t>Value ($)</t>
  </si>
  <si>
    <t>Contingency</t>
  </si>
  <si>
    <t>Grand Total</t>
  </si>
  <si>
    <t>Remediation Cost</t>
  </si>
  <si>
    <t>Source: EPRJan2016CostRecovery</t>
  </si>
  <si>
    <t xml:space="preserve">Total </t>
  </si>
  <si>
    <t>IDOT Crash Data (2016-2020)</t>
  </si>
  <si>
    <t>Year</t>
  </si>
  <si>
    <t>Source: PDR (August 2017)</t>
  </si>
  <si>
    <t>Name</t>
  </si>
  <si>
    <t>Property Value Increase Factor, with project</t>
  </si>
  <si>
    <t>Fatal</t>
  </si>
  <si>
    <t>Injury</t>
  </si>
  <si>
    <t>Total</t>
  </si>
  <si>
    <t>Improved Crash Rate</t>
  </si>
  <si>
    <t>Annual Reduction</t>
  </si>
  <si>
    <t>Crash Modification factor for install of bike path</t>
  </si>
  <si>
    <t>Annual Crash Rate</t>
  </si>
  <si>
    <t>Projected Crash Rate - Pedestrian and Cyclists</t>
  </si>
  <si>
    <t>Values</t>
  </si>
  <si>
    <t>Total Benefit</t>
  </si>
  <si>
    <t>Crash Reduction</t>
  </si>
  <si>
    <t>Nominal Value</t>
  </si>
  <si>
    <t>Total Traffic Safety Benefits</t>
  </si>
  <si>
    <t>Crash Reduction Benefits: Reynolds, C., et al. (2009). “The Impact of Transportation Infrastructure on Bicycling Injuries and Crashes: A Review of the Literature.” Environmental Health, Vol. 8, No. 47.</t>
  </si>
  <si>
    <t>Parcels (2020 Cook County Assessor Dataset - Property Assessments) within One Mile of the Englewood Line - S Hoyne Ave to S Lowe Ave</t>
  </si>
  <si>
    <t>Total Property Value within 1 mile in 2020, baseline</t>
  </si>
  <si>
    <t>Property Value Increase</t>
  </si>
  <si>
    <t>Cook County Property Assessments 2020</t>
  </si>
  <si>
    <t>Property Value Increase: Krizek, “Two Approaches to Valuing Some of Bicycle Facilities Presumed Benefits,” Journal of American Planning Association, Vol. 72, No. 3, Summer 2006.</t>
  </si>
  <si>
    <t>Total Property Value Benefits</t>
  </si>
  <si>
    <t>Remediation Benefits - Property Value</t>
  </si>
  <si>
    <t>Total Remediation - Property Value Benefits</t>
  </si>
  <si>
    <t>Parcels (2020 Cook County Assessor Dataset - Property Assessments) within 3.1 miles (5 km) of Remediation Sites</t>
  </si>
  <si>
    <t>Total Property Value within 3.1 miles in 2020, baseline</t>
  </si>
  <si>
    <t>0.34% increase in property values within one mile of a bike path</t>
  </si>
  <si>
    <t>Remediation Benefits</t>
  </si>
  <si>
    <t>Total Benefits</t>
  </si>
  <si>
    <t>No-Build</t>
  </si>
  <si>
    <t>Total Costs</t>
  </si>
  <si>
    <t>BCA Ratio</t>
  </si>
  <si>
    <t>Discounted to 2020</t>
  </si>
  <si>
    <t>Years from 2020</t>
  </si>
  <si>
    <t>Maintenance of Existing Facility (2027-2045)</t>
  </si>
  <si>
    <t>O&amp;M</t>
  </si>
  <si>
    <t>$1 M Per Year (20 Years)</t>
  </si>
  <si>
    <t>Total Property Value within 1 mile in 2027</t>
  </si>
  <si>
    <t>2020 Property Value increase within 1 mile in 2027 $, with project</t>
  </si>
  <si>
    <t>Total Property Value within 3.1 miles in 2027</t>
  </si>
  <si>
    <t>2020 Property Value increase within 3.1 miles in 2027 $, with project</t>
  </si>
  <si>
    <t>Inflated Total (Q4 2021)</t>
  </si>
  <si>
    <t>Discounted to $2020</t>
  </si>
  <si>
    <t>Total Cost</t>
  </si>
  <si>
    <t>Construction Costs</t>
  </si>
  <si>
    <t>Inflated to Oct 2022 $</t>
  </si>
  <si>
    <t>Feb 2022 $</t>
  </si>
  <si>
    <t>May 2026 $</t>
  </si>
  <si>
    <t>Inflated to Feb 2022$</t>
  </si>
  <si>
    <t>May 2026 Cost</t>
  </si>
  <si>
    <t>May 2027 Cost</t>
  </si>
  <si>
    <t xml:space="preserve">Total Cost </t>
  </si>
  <si>
    <t>May 2027 $</t>
  </si>
  <si>
    <t>Engineering $2020</t>
  </si>
  <si>
    <t>Construction $2020</t>
  </si>
  <si>
    <t>Remediation $2020</t>
  </si>
  <si>
    <t>Environmental Remedation</t>
  </si>
  <si>
    <t>ROW Acquisition $2020</t>
  </si>
  <si>
    <t>Inflated Remediation Cost (May 2026)</t>
  </si>
  <si>
    <t>Total Cost $2020</t>
  </si>
  <si>
    <t>Benefit-Cost Analysis Spreadsheet for the Englewood Line</t>
  </si>
  <si>
    <t>Rates</t>
  </si>
  <si>
    <t>Unit</t>
  </si>
  <si>
    <t>Source Name</t>
  </si>
  <si>
    <t>Source Link</t>
  </si>
  <si>
    <t xml:space="preserve">Discount Rate </t>
  </si>
  <si>
    <t>https://www.transportation.gov/sites/dot.gov/files/2022-03/Benefit%20Cost%20Analysis%20Guidance%202022%20Update.pdf</t>
  </si>
  <si>
    <t>KABCO Injury Levels</t>
  </si>
  <si>
    <t>Value</t>
  </si>
  <si>
    <t>Source Link (if available online)</t>
  </si>
  <si>
    <t>Fatality</t>
  </si>
  <si>
    <t>Per fatality</t>
  </si>
  <si>
    <t>U.S. Department of Transportation, Benefit-Cost Analysis Guidance for Discretionary Grant Programs, March 2022.</t>
  </si>
  <si>
    <t>Per Injury</t>
  </si>
  <si>
    <t>Propertry Value Increases</t>
  </si>
  <si>
    <t>Facility</t>
  </si>
  <si>
    <t>Percent Property Value Increase within 1 Mile of Bike Trail</t>
  </si>
  <si>
    <t>(Bicycle Trail)</t>
  </si>
  <si>
    <t>Increase in value</t>
  </si>
  <si>
    <t>Krizek, “Two Approaches to Valuing Some of Bicycle Facilities Presumed Benefits,” Journal of American Planning Association, Vol. 72, No. 3, Summer 2006.</t>
  </si>
  <si>
    <t>About the B/C Assessment Spreadsheet Tabs</t>
  </si>
  <si>
    <t xml:space="preserve">The Benefit Cost (B/C) spreadsheet provided is broken down into several tabs to make it easy to understand the assumptions that were made to calculate costs and benefits.  Below follows a brief description of the intent of each tab. </t>
  </si>
  <si>
    <t>Tab Name</t>
  </si>
  <si>
    <t>Description</t>
  </si>
  <si>
    <t>Default Values</t>
  </si>
  <si>
    <t xml:space="preserve">Details of various rates and parameters used for estimating economic impacts in different categories, including: </t>
  </si>
  <si>
    <t xml:space="preserve"> - Discount rates</t>
  </si>
  <si>
    <t>This tab presents the summary of the benefit cost analysis (BCA) results in various categories and the benefit-cost ratio (BCR).</t>
  </si>
  <si>
    <t>BCA Summary Nominal</t>
  </si>
  <si>
    <t>BCA Summary Discounted</t>
  </si>
  <si>
    <t>Project Capital and O&amp;M Costs</t>
  </si>
  <si>
    <t>U.S. Department of Transportation, Benefit-Cost Analysis Guidance for Discretionary Grant Programs, March 2022</t>
  </si>
  <si>
    <t>Injured (Severity Unknown)</t>
  </si>
  <si>
    <t>Traffic Safety Increases</t>
  </si>
  <si>
    <t>Reynolds, C., et al. (2009). “The Impact of Transportation Infrastructure on Bicycling Injuries and Crashes: A Review of the Literature.” Environmental Health, Vol. 8, No. 47.</t>
  </si>
  <si>
    <t>Per Crash Rate</t>
  </si>
  <si>
    <t>Percent Crash Rate Reduction for bike lane install</t>
  </si>
  <si>
    <t>https://www.ncbi.nlm.nih.gov/pmc/articles/PMC2776010/</t>
  </si>
  <si>
    <t>Remedation Property Value Benefits</t>
  </si>
  <si>
    <t>8.25% (between 5 and 11.5%)</t>
  </si>
  <si>
    <t>https://www.nber.org/papers/w20296</t>
  </si>
  <si>
    <t xml:space="preserve"> - KABCO Injury Levels</t>
  </si>
  <si>
    <t>-  Traffic Safety Increase Values</t>
  </si>
  <si>
    <t xml:space="preserve"> - Property Value Increase Values</t>
  </si>
  <si>
    <t xml:space="preserve"> - Remediation Benefit Values</t>
  </si>
  <si>
    <t>BCA Summary</t>
  </si>
  <si>
    <t>This tab summarizes the project costs in nominal and discounted values.</t>
  </si>
  <si>
    <t>This tab summarizes the project Property Value increase benefits.</t>
  </si>
  <si>
    <t>This tab summarizes the project Traffic Safety benefits.</t>
  </si>
  <si>
    <t>This tab summarizes the project Remediation benefits.</t>
  </si>
  <si>
    <t>Pedestrian Injuries and Fatalities (1/4 mile)</t>
  </si>
  <si>
    <t>Cyclist Injuries and Fatalities (1/2 mile)</t>
  </si>
  <si>
    <t>Injuries</t>
  </si>
  <si>
    <t>Fatalities</t>
  </si>
  <si>
    <t>Discounted Value ($2020)</t>
  </si>
  <si>
    <t>Discounted $2020</t>
  </si>
  <si>
    <t>Property Value Benefit</t>
  </si>
  <si>
    <t>Property Value</t>
  </si>
  <si>
    <t>-</t>
  </si>
  <si>
    <t xml:space="preserve"> Property Value Increase</t>
  </si>
  <si>
    <t>Remediation Benefit</t>
  </si>
  <si>
    <t xml:space="preserve"> Costs</t>
  </si>
  <si>
    <t>Capital Costs</t>
  </si>
  <si>
    <r>
      <rPr>
        <b/>
        <sz val="11"/>
        <color theme="1"/>
        <rFont val="Calibri"/>
        <family val="2"/>
        <scheme val="minor"/>
      </rPr>
      <t xml:space="preserve">Operating &amp; Maintenance Cost </t>
    </r>
    <r>
      <rPr>
        <sz val="11"/>
        <color theme="1"/>
        <rFont val="Calibri"/>
        <family val="2"/>
        <scheme val="minor"/>
      </rPr>
      <t>- Treated as a negative benefit</t>
    </r>
  </si>
  <si>
    <t>Net Costs</t>
  </si>
  <si>
    <t>Net Benefits</t>
  </si>
  <si>
    <t>Reduced Crash Rate</t>
  </si>
  <si>
    <t>Increased Property Value</t>
  </si>
  <si>
    <t>Discount Rate</t>
  </si>
  <si>
    <t>This tab summarizes the BCA costs and benefits in nominal values</t>
  </si>
  <si>
    <t>This tab summarizes the BCA costs and benefits in discounted values.</t>
  </si>
  <si>
    <t>Property values increase by an average of 5.0% to 11.5% within 5 km (3 miles) of brownfields</t>
  </si>
  <si>
    <t>Observed Crash Data for project area 2016 - 2020 - Englewood Line</t>
  </si>
  <si>
    <t xml:space="preserve">US DOT Benefit Cost Analysis Recommend Monetized  2022 Values of Reduced Fatalities and Injuries </t>
  </si>
  <si>
    <t>Construction Engineering</t>
  </si>
  <si>
    <t>Source: TIP</t>
  </si>
  <si>
    <t>Design $2022</t>
  </si>
  <si>
    <t>Design $2020</t>
  </si>
  <si>
    <t>Inflated  to May 2026$</t>
  </si>
  <si>
    <t>Remediation Benefit: Haninger, "The Value of Brownfield Remediation," National Bureau of Economic Research. July 2014</t>
  </si>
  <si>
    <t>Haninger, "The Value of Brownfield Remediation," National Bureau of Economic Research. July 2014</t>
  </si>
  <si>
    <t>Total Capital Construction Cost</t>
  </si>
  <si>
    <t>O&amp;M Cost</t>
  </si>
  <si>
    <t>Contingency $2020</t>
  </si>
  <si>
    <t>NPV</t>
  </si>
  <si>
    <t>Loomis Cluster (Jan 2016)</t>
  </si>
  <si>
    <t>Engineering (Aug 2017)</t>
  </si>
  <si>
    <t xml:space="preserve">Construction (Aug 2017) </t>
  </si>
  <si>
    <t>ROW Acquisition (Aug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</si>
</sst>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00_);_(&quot;$&quot;* \(#,##0.0000\);_(&quot;$&quot;* &quot;-&quot;????_);_(@_)"/>
    <numFmt numFmtId="166" formatCode="&quot;$&quot;#,##0"/>
    <numFmt numFmtId="167" formatCode="&quot;$&quot;#,##0.00"/>
    <numFmt numFmtId="168" formatCode="0.0%"/>
    <numFmt numFmtId="169" formatCode="0.0"/>
    <numFmt numFmtId="170" formatCode="_(&quot;$&quot;* #,##0_);_(&quot;$&quot;* \(#,##0\);_(&quot;$&quot;* &quot;-&quot;????_);_(@_)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3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7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 applyAlignment="1">
      <alignment wrapText="1"/>
    </xf>
    <xf numFmtId="4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3" xfId="0" applyFont="1" applyBorder="1"/>
    <xf numFmtId="0" fontId="0" fillId="0" borderId="3" xfId="0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0" xfId="0" applyBorder="1"/>
    <xf numFmtId="44" fontId="0" fillId="0" borderId="0" xfId="1" applyFont="1" applyBorder="1"/>
    <xf numFmtId="9" fontId="0" fillId="0" borderId="4" xfId="0" applyNumberFormat="1" applyBorder="1"/>
    <xf numFmtId="44" fontId="1" fillId="0" borderId="0" xfId="1" applyFont="1" applyBorder="1"/>
    <xf numFmtId="0" fontId="0" fillId="0" borderId="6" xfId="0" applyBorder="1"/>
    <xf numFmtId="0" fontId="0" fillId="0" borderId="1" xfId="0" applyBorder="1"/>
    <xf numFmtId="0" fontId="1" fillId="0" borderId="5" xfId="0" applyFont="1" applyBorder="1"/>
    <xf numFmtId="0" fontId="0" fillId="0" borderId="0" xfId="0" applyFill="1" applyBorder="1"/>
    <xf numFmtId="0" fontId="6" fillId="2" borderId="9" xfId="0" applyFont="1" applyFill="1" applyBorder="1"/>
    <xf numFmtId="0" fontId="6" fillId="2" borderId="10" xfId="0" applyFont="1" applyFill="1" applyBorder="1" applyAlignment="1">
      <alignment horizontal="center"/>
    </xf>
    <xf numFmtId="164" fontId="7" fillId="3" borderId="12" xfId="1" applyNumberFormat="1" applyFont="1" applyFill="1" applyBorder="1"/>
    <xf numFmtId="0" fontId="7" fillId="3" borderId="11" xfId="0" applyFont="1" applyFill="1" applyBorder="1"/>
    <xf numFmtId="10" fontId="7" fillId="3" borderId="12" xfId="2" applyNumberFormat="1" applyFont="1" applyFill="1" applyBorder="1"/>
    <xf numFmtId="0" fontId="1" fillId="0" borderId="0" xfId="0" applyFont="1" applyBorder="1"/>
    <xf numFmtId="0" fontId="0" fillId="0" borderId="0" xfId="0" applyFont="1"/>
    <xf numFmtId="0" fontId="1" fillId="0" borderId="3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0" fillId="0" borderId="4" xfId="0" applyFont="1" applyBorder="1"/>
    <xf numFmtId="0" fontId="0" fillId="0" borderId="0" xfId="0" applyFont="1" applyBorder="1"/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 applyFill="1"/>
    <xf numFmtId="0" fontId="0" fillId="4" borderId="0" xfId="0" applyFont="1" applyFill="1" applyBorder="1"/>
    <xf numFmtId="0" fontId="0" fillId="4" borderId="4" xfId="0" applyFont="1" applyFill="1" applyBorder="1"/>
    <xf numFmtId="0" fontId="1" fillId="4" borderId="8" xfId="0" applyFont="1" applyFill="1" applyBorder="1"/>
    <xf numFmtId="164" fontId="11" fillId="0" borderId="0" xfId="1" applyNumberFormat="1" applyFont="1" applyFill="1" applyBorder="1" applyAlignment="1">
      <alignment horizontal="right"/>
    </xf>
    <xf numFmtId="164" fontId="8" fillId="0" borderId="0" xfId="1" applyNumberFormat="1" applyFont="1" applyFill="1" applyBorder="1"/>
    <xf numFmtId="0" fontId="9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right" wrapText="1"/>
    </xf>
    <xf numFmtId="164" fontId="9" fillId="0" borderId="0" xfId="1" applyNumberFormat="1" applyFont="1" applyFill="1" applyBorder="1"/>
    <xf numFmtId="3" fontId="9" fillId="0" borderId="0" xfId="0" applyNumberFormat="1" applyFont="1" applyFill="1" applyBorder="1"/>
    <xf numFmtId="164" fontId="8" fillId="0" borderId="0" xfId="0" applyNumberFormat="1" applyFont="1" applyFill="1" applyBorder="1"/>
    <xf numFmtId="44" fontId="0" fillId="0" borderId="0" xfId="1" applyFont="1" applyFill="1" applyBorder="1"/>
    <xf numFmtId="44" fontId="0" fillId="5" borderId="0" xfId="1" applyFont="1" applyFill="1" applyBorder="1"/>
    <xf numFmtId="0" fontId="0" fillId="5" borderId="0" xfId="0" applyFont="1" applyFill="1"/>
    <xf numFmtId="0" fontId="0" fillId="5" borderId="0" xfId="0" applyFont="1" applyFill="1" applyBorder="1"/>
    <xf numFmtId="164" fontId="0" fillId="5" borderId="0" xfId="1" applyNumberFormat="1" applyFont="1" applyFill="1" applyBorder="1"/>
    <xf numFmtId="0" fontId="0" fillId="0" borderId="15" xfId="0" applyFont="1" applyBorder="1"/>
    <xf numFmtId="0" fontId="0" fillId="0" borderId="16" xfId="0" applyFont="1" applyBorder="1"/>
    <xf numFmtId="0" fontId="0" fillId="0" borderId="17" xfId="0" applyFont="1" applyBorder="1"/>
    <xf numFmtId="164" fontId="0" fillId="0" borderId="0" xfId="1" applyNumberFormat="1" applyFont="1" applyFill="1" applyBorder="1"/>
    <xf numFmtId="0" fontId="0" fillId="0" borderId="5" xfId="0" applyFont="1" applyBorder="1"/>
    <xf numFmtId="0" fontId="0" fillId="0" borderId="0" xfId="1" applyNumberFormat="1" applyFont="1" applyFill="1" applyBorder="1"/>
    <xf numFmtId="0" fontId="0" fillId="0" borderId="0" xfId="0" applyNumberFormat="1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0" borderId="8" xfId="0" applyFont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164" fontId="1" fillId="0" borderId="0" xfId="1" applyNumberFormat="1" applyFont="1" applyFill="1" applyBorder="1"/>
    <xf numFmtId="0" fontId="1" fillId="0" borderId="0" xfId="0" applyFont="1" applyFill="1" applyBorder="1" applyAlignment="1">
      <alignment horizontal="center" wrapText="1"/>
    </xf>
    <xf numFmtId="0" fontId="0" fillId="0" borderId="5" xfId="0" applyFont="1" applyBorder="1" applyAlignment="1">
      <alignment horizontal="center" vertical="top"/>
    </xf>
    <xf numFmtId="0" fontId="0" fillId="4" borderId="8" xfId="0" applyFont="1" applyFill="1" applyBorder="1"/>
    <xf numFmtId="0" fontId="0" fillId="4" borderId="6" xfId="0" applyFont="1" applyFill="1" applyBorder="1"/>
    <xf numFmtId="0" fontId="0" fillId="0" borderId="7" xfId="0" applyFont="1" applyBorder="1"/>
    <xf numFmtId="0" fontId="0" fillId="0" borderId="8" xfId="0" applyFont="1" applyBorder="1"/>
    <xf numFmtId="0" fontId="0" fillId="0" borderId="6" xfId="0" applyFont="1" applyBorder="1"/>
    <xf numFmtId="164" fontId="0" fillId="0" borderId="4" xfId="1" applyNumberFormat="1" applyFont="1" applyFill="1" applyBorder="1"/>
    <xf numFmtId="164" fontId="0" fillId="0" borderId="6" xfId="1" applyNumberFormat="1" applyFont="1" applyFill="1" applyBorder="1"/>
    <xf numFmtId="164" fontId="1" fillId="0" borderId="17" xfId="0" applyNumberFormat="1" applyFont="1" applyBorder="1"/>
    <xf numFmtId="164" fontId="0" fillId="0" borderId="15" xfId="1" applyNumberFormat="1" applyFont="1" applyFill="1" applyBorder="1"/>
    <xf numFmtId="164" fontId="0" fillId="0" borderId="16" xfId="1" applyNumberFormat="1" applyFont="1" applyFill="1" applyBorder="1" applyAlignment="1">
      <alignment wrapText="1"/>
    </xf>
    <xf numFmtId="164" fontId="0" fillId="0" borderId="17" xfId="1" applyNumberFormat="1" applyFont="1" applyFill="1" applyBorder="1"/>
    <xf numFmtId="44" fontId="0" fillId="0" borderId="0" xfId="1" applyFont="1"/>
    <xf numFmtId="164" fontId="12" fillId="3" borderId="14" xfId="0" applyNumberFormat="1" applyFont="1" applyFill="1" applyBorder="1"/>
    <xf numFmtId="0" fontId="12" fillId="3" borderId="13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2" fontId="1" fillId="0" borderId="0" xfId="0" applyNumberFormat="1" applyFont="1"/>
    <xf numFmtId="44" fontId="1" fillId="0" borderId="0" xfId="0" applyNumberFormat="1" applyFont="1" applyBorder="1"/>
    <xf numFmtId="0" fontId="0" fillId="0" borderId="15" xfId="0" applyBorder="1" applyAlignment="1">
      <alignment wrapText="1"/>
    </xf>
    <xf numFmtId="44" fontId="0" fillId="0" borderId="17" xfId="0" applyNumberFormat="1" applyBorder="1"/>
    <xf numFmtId="0" fontId="7" fillId="3" borderId="19" xfId="0" applyFont="1" applyFill="1" applyBorder="1"/>
    <xf numFmtId="0" fontId="7" fillId="3" borderId="13" xfId="0" applyFont="1" applyFill="1" applyBorder="1" applyAlignment="1">
      <alignment wrapText="1"/>
    </xf>
    <xf numFmtId="164" fontId="7" fillId="3" borderId="14" xfId="0" applyNumberFormat="1" applyFont="1" applyFill="1" applyBorder="1"/>
    <xf numFmtId="0" fontId="0" fillId="0" borderId="2" xfId="0" applyBorder="1"/>
    <xf numFmtId="0" fontId="0" fillId="0" borderId="5" xfId="0" applyBorder="1"/>
    <xf numFmtId="164" fontId="0" fillId="0" borderId="0" xfId="1" applyNumberFormat="1" applyFont="1" applyFill="1" applyBorder="1" applyAlignment="1">
      <alignment wrapText="1"/>
    </xf>
    <xf numFmtId="0" fontId="0" fillId="0" borderId="8" xfId="0" applyBorder="1"/>
    <xf numFmtId="164" fontId="3" fillId="0" borderId="17" xfId="1" applyNumberFormat="1" applyFont="1" applyBorder="1"/>
    <xf numFmtId="0" fontId="1" fillId="4" borderId="0" xfId="0" applyFont="1" applyFill="1"/>
    <xf numFmtId="44" fontId="1" fillId="0" borderId="8" xfId="0" applyNumberFormat="1" applyFont="1" applyBorder="1"/>
    <xf numFmtId="0" fontId="1" fillId="4" borderId="5" xfId="0" applyFont="1" applyFill="1" applyBorder="1" applyAlignment="1">
      <alignment wrapText="1"/>
    </xf>
    <xf numFmtId="164" fontId="0" fillId="4" borderId="4" xfId="0" applyNumberFormat="1" applyFill="1" applyBorder="1"/>
    <xf numFmtId="164" fontId="4" fillId="0" borderId="2" xfId="1" applyNumberFormat="1" applyFont="1" applyFill="1" applyBorder="1"/>
    <xf numFmtId="164" fontId="0" fillId="0" borderId="1" xfId="1" applyNumberFormat="1" applyFont="1" applyFill="1" applyBorder="1"/>
    <xf numFmtId="49" fontId="0" fillId="0" borderId="3" xfId="0" applyNumberFormat="1" applyBorder="1"/>
    <xf numFmtId="164" fontId="0" fillId="0" borderId="3" xfId="1" applyNumberFormat="1" applyFont="1" applyFill="1" applyBorder="1"/>
    <xf numFmtId="49" fontId="1" fillId="4" borderId="5" xfId="0" applyNumberFormat="1" applyFont="1" applyFill="1" applyBorder="1"/>
    <xf numFmtId="49" fontId="0" fillId="0" borderId="0" xfId="0" applyNumberFormat="1"/>
    <xf numFmtId="164" fontId="1" fillId="4" borderId="5" xfId="0" applyNumberFormat="1" applyFont="1" applyFill="1" applyBorder="1"/>
    <xf numFmtId="164" fontId="0" fillId="0" borderId="2" xfId="1" applyNumberFormat="1" applyFont="1" applyFill="1" applyBorder="1"/>
    <xf numFmtId="166" fontId="0" fillId="0" borderId="0" xfId="0" applyNumberFormat="1"/>
    <xf numFmtId="164" fontId="0" fillId="0" borderId="2" xfId="0" applyNumberFormat="1" applyBorder="1"/>
    <xf numFmtId="17" fontId="0" fillId="0" borderId="3" xfId="0" applyNumberFormat="1" applyBorder="1"/>
    <xf numFmtId="0" fontId="0" fillId="0" borderId="3" xfId="1" applyNumberFormat="1" applyFont="1" applyFill="1" applyBorder="1"/>
    <xf numFmtId="167" fontId="0" fillId="0" borderId="0" xfId="0" applyNumberFormat="1"/>
    <xf numFmtId="0" fontId="1" fillId="4" borderId="5" xfId="0" applyFont="1" applyFill="1" applyBorder="1"/>
    <xf numFmtId="164" fontId="3" fillId="0" borderId="3" xfId="1" applyNumberFormat="1" applyFont="1" applyFill="1" applyBorder="1"/>
    <xf numFmtId="164" fontId="1" fillId="4" borderId="5" xfId="1" applyNumberFormat="1" applyFont="1" applyFill="1" applyBorder="1"/>
    <xf numFmtId="164" fontId="0" fillId="4" borderId="3" xfId="1" applyNumberFormat="1" applyFont="1" applyFill="1" applyBorder="1"/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49" fontId="1" fillId="0" borderId="0" xfId="0" applyNumberFormat="1" applyFont="1"/>
    <xf numFmtId="165" fontId="1" fillId="0" borderId="0" xfId="0" applyNumberFormat="1" applyFont="1"/>
    <xf numFmtId="164" fontId="1" fillId="0" borderId="5" xfId="1" applyNumberFormat="1" applyFont="1" applyFill="1" applyBorder="1"/>
    <xf numFmtId="0" fontId="1" fillId="0" borderId="5" xfId="0" applyFont="1" applyBorder="1" applyAlignment="1">
      <alignment wrapText="1"/>
    </xf>
    <xf numFmtId="44" fontId="1" fillId="0" borderId="0" xfId="0" applyNumberFormat="1" applyFont="1"/>
    <xf numFmtId="0" fontId="0" fillId="0" borderId="15" xfId="0" applyBorder="1"/>
    <xf numFmtId="0" fontId="15" fillId="0" borderId="0" xfId="0" applyFont="1"/>
    <xf numFmtId="15" fontId="15" fillId="0" borderId="0" xfId="0" applyNumberFormat="1" applyFont="1"/>
    <xf numFmtId="0" fontId="0" fillId="6" borderId="0" xfId="0" applyFill="1"/>
    <xf numFmtId="167" fontId="17" fillId="6" borderId="0" xfId="0" applyNumberFormat="1" applyFont="1" applyFill="1" applyAlignment="1">
      <alignment horizontal="center" vertical="top"/>
    </xf>
    <xf numFmtId="167" fontId="17" fillId="6" borderId="0" xfId="0" applyNumberFormat="1" applyFont="1" applyFill="1"/>
    <xf numFmtId="0" fontId="0" fillId="6" borderId="0" xfId="0" applyFill="1" applyAlignment="1">
      <alignment wrapText="1"/>
    </xf>
    <xf numFmtId="0" fontId="18" fillId="6" borderId="0" xfId="0" applyFont="1" applyFill="1" applyAlignment="1">
      <alignment vertical="top"/>
    </xf>
    <xf numFmtId="0" fontId="1" fillId="6" borderId="0" xfId="0" applyFont="1" applyFill="1"/>
    <xf numFmtId="167" fontId="19" fillId="6" borderId="0" xfId="0" applyNumberFormat="1" applyFont="1" applyFill="1" applyAlignment="1">
      <alignment horizontal="center" vertical="top"/>
    </xf>
    <xf numFmtId="167" fontId="19" fillId="6" borderId="0" xfId="0" applyNumberFormat="1" applyFont="1" applyFill="1"/>
    <xf numFmtId="0" fontId="20" fillId="6" borderId="0" xfId="0" applyFont="1" applyFill="1" applyAlignment="1">
      <alignment horizontal="center" wrapText="1"/>
    </xf>
    <xf numFmtId="0" fontId="13" fillId="7" borderId="0" xfId="0" applyFont="1" applyFill="1" applyAlignment="1">
      <alignment horizontal="center" vertical="top"/>
    </xf>
    <xf numFmtId="0" fontId="14" fillId="7" borderId="0" xfId="0" applyFont="1" applyFill="1" applyAlignment="1">
      <alignment horizontal="center" vertical="top"/>
    </xf>
    <xf numFmtId="2" fontId="14" fillId="7" borderId="0" xfId="0" applyNumberFormat="1" applyFont="1" applyFill="1" applyAlignment="1">
      <alignment horizontal="center" vertical="top"/>
    </xf>
    <xf numFmtId="167" fontId="13" fillId="7" borderId="0" xfId="0" applyNumberFormat="1" applyFont="1" applyFill="1" applyAlignment="1">
      <alignment horizontal="center" vertical="top"/>
    </xf>
    <xf numFmtId="0" fontId="13" fillId="7" borderId="0" xfId="0" applyFont="1" applyFill="1" applyAlignment="1">
      <alignment horizontal="center" vertical="top" wrapText="1"/>
    </xf>
    <xf numFmtId="0" fontId="0" fillId="0" borderId="0" xfId="0" applyAlignment="1">
      <alignment vertical="top"/>
    </xf>
    <xf numFmtId="0" fontId="0" fillId="8" borderId="0" xfId="0" applyFill="1" applyAlignment="1">
      <alignment vertical="top"/>
    </xf>
    <xf numFmtId="168" fontId="17" fillId="8" borderId="0" xfId="0" applyNumberFormat="1" applyFont="1" applyFill="1" applyAlignment="1">
      <alignment horizontal="center" vertical="top"/>
    </xf>
    <xf numFmtId="10" fontId="17" fillId="8" borderId="0" xfId="0" applyNumberFormat="1" applyFont="1" applyFill="1" applyAlignment="1">
      <alignment vertical="top"/>
    </xf>
    <xf numFmtId="0" fontId="0" fillId="8" borderId="0" xfId="0" applyFill="1" applyAlignment="1">
      <alignment vertical="top" wrapText="1"/>
    </xf>
    <xf numFmtId="0" fontId="16" fillId="8" borderId="0" xfId="3" applyFill="1" applyAlignment="1">
      <alignment wrapText="1"/>
    </xf>
    <xf numFmtId="166" fontId="17" fillId="8" borderId="0" xfId="0" applyNumberFormat="1" applyFont="1" applyFill="1" applyAlignment="1">
      <alignment horizontal="center" vertical="top"/>
    </xf>
    <xf numFmtId="166" fontId="17" fillId="8" borderId="0" xfId="0" applyNumberFormat="1" applyFont="1" applyFill="1" applyAlignment="1">
      <alignment vertical="top" wrapText="1"/>
    </xf>
    <xf numFmtId="167" fontId="17" fillId="8" borderId="0" xfId="0" applyNumberFormat="1" applyFont="1" applyFill="1" applyAlignment="1">
      <alignment horizontal="center" vertical="top" wrapText="1"/>
    </xf>
    <xf numFmtId="0" fontId="9" fillId="0" borderId="0" xfId="0" applyFont="1"/>
    <xf numFmtId="44" fontId="9" fillId="0" borderId="0" xfId="1" applyFont="1" applyFill="1"/>
    <xf numFmtId="167" fontId="17" fillId="8" borderId="0" xfId="0" applyNumberFormat="1" applyFont="1" applyFill="1"/>
    <xf numFmtId="167" fontId="17" fillId="0" borderId="0" xfId="0" applyNumberFormat="1" applyFont="1" applyAlignment="1">
      <alignment horizontal="center" vertical="top"/>
    </xf>
    <xf numFmtId="167" fontId="17" fillId="0" borderId="0" xfId="0" applyNumberFormat="1" applyFont="1"/>
    <xf numFmtId="0" fontId="21" fillId="6" borderId="0" xfId="0" applyFont="1" applyFill="1" applyAlignment="1">
      <alignment vertical="top" wrapText="1"/>
    </xf>
    <xf numFmtId="0" fontId="22" fillId="6" borderId="0" xfId="0" applyFont="1" applyFill="1" applyAlignment="1">
      <alignment vertical="top" wrapText="1"/>
    </xf>
    <xf numFmtId="0" fontId="22" fillId="0" borderId="0" xfId="0" applyFont="1" applyAlignment="1">
      <alignment vertical="top" wrapText="1"/>
    </xf>
    <xf numFmtId="0" fontId="23" fillId="6" borderId="0" xfId="0" applyFont="1" applyFill="1" applyAlignment="1">
      <alignment horizontal="center" vertical="top" wrapText="1"/>
    </xf>
    <xf numFmtId="0" fontId="24" fillId="6" borderId="0" xfId="0" applyFont="1" applyFill="1" applyAlignment="1">
      <alignment vertical="top" wrapText="1"/>
    </xf>
    <xf numFmtId="0" fontId="24" fillId="0" borderId="0" xfId="0" applyFont="1" applyAlignment="1">
      <alignment vertical="top" wrapText="1"/>
    </xf>
    <xf numFmtId="0" fontId="24" fillId="11" borderId="12" xfId="0" applyFont="1" applyFill="1" applyBorder="1" applyAlignment="1">
      <alignment horizontal="center" vertical="top" wrapText="1"/>
    </xf>
    <xf numFmtId="0" fontId="22" fillId="12" borderId="12" xfId="0" applyFont="1" applyFill="1" applyBorder="1" applyAlignment="1">
      <alignment horizontal="left" vertical="top" wrapText="1"/>
    </xf>
    <xf numFmtId="0" fontId="22" fillId="12" borderId="12" xfId="0" quotePrefix="1" applyFont="1" applyFill="1" applyBorder="1" applyAlignment="1">
      <alignment horizontal="left" vertical="top" wrapText="1"/>
    </xf>
    <xf numFmtId="0" fontId="26" fillId="13" borderId="12" xfId="0" applyFont="1" applyFill="1" applyBorder="1" applyAlignment="1">
      <alignment horizontal="left" vertical="top" wrapText="1"/>
    </xf>
    <xf numFmtId="0" fontId="27" fillId="14" borderId="12" xfId="0" applyFont="1" applyFill="1" applyBorder="1" applyAlignment="1">
      <alignment horizontal="left" vertical="top" wrapText="1"/>
    </xf>
    <xf numFmtId="0" fontId="22" fillId="14" borderId="12" xfId="0" applyFont="1" applyFill="1" applyBorder="1" applyAlignment="1">
      <alignment horizontal="left" vertical="top" wrapText="1"/>
    </xf>
    <xf numFmtId="0" fontId="0" fillId="8" borderId="0" xfId="0" applyFont="1" applyFill="1" applyAlignment="1">
      <alignment wrapText="1"/>
    </xf>
    <xf numFmtId="0" fontId="0" fillId="8" borderId="0" xfId="0" applyFont="1" applyFill="1"/>
    <xf numFmtId="10" fontId="0" fillId="8" borderId="0" xfId="2" applyNumberFormat="1" applyFont="1" applyFill="1"/>
    <xf numFmtId="0" fontId="0" fillId="8" borderId="0" xfId="0" applyFont="1" applyFill="1" applyAlignment="1">
      <alignment vertical="top" wrapText="1"/>
    </xf>
    <xf numFmtId="0" fontId="16" fillId="8" borderId="0" xfId="3" applyFont="1" applyFill="1" applyAlignment="1">
      <alignment wrapText="1"/>
    </xf>
    <xf numFmtId="44" fontId="0" fillId="0" borderId="0" xfId="1" applyFont="1" applyFill="1"/>
    <xf numFmtId="0" fontId="0" fillId="0" borderId="0" xfId="0" applyFont="1" applyAlignment="1">
      <alignment vertical="top"/>
    </xf>
    <xf numFmtId="9" fontId="0" fillId="8" borderId="0" xfId="2" applyNumberFormat="1" applyFont="1" applyFill="1"/>
    <xf numFmtId="0" fontId="9" fillId="8" borderId="0" xfId="0" applyFont="1" applyFill="1" applyAlignment="1">
      <alignment vertical="top" wrapText="1"/>
    </xf>
    <xf numFmtId="44" fontId="0" fillId="0" borderId="0" xfId="0" applyNumberFormat="1" applyBorder="1"/>
    <xf numFmtId="0" fontId="1" fillId="0" borderId="1" xfId="0" applyFont="1" applyBorder="1"/>
    <xf numFmtId="0" fontId="1" fillId="0" borderId="12" xfId="0" applyFont="1" applyBorder="1"/>
    <xf numFmtId="0" fontId="1" fillId="0" borderId="12" xfId="0" applyFont="1" applyBorder="1" applyAlignment="1">
      <alignment wrapText="1"/>
    </xf>
    <xf numFmtId="0" fontId="0" fillId="14" borderId="12" xfId="0" applyFill="1" applyBorder="1"/>
    <xf numFmtId="166" fontId="0" fillId="14" borderId="12" xfId="1" applyNumberFormat="1" applyFont="1" applyFill="1" applyBorder="1" applyAlignment="1">
      <alignment wrapText="1"/>
    </xf>
    <xf numFmtId="44" fontId="0" fillId="14" borderId="12" xfId="0" applyNumberFormat="1" applyFill="1" applyBorder="1"/>
    <xf numFmtId="9" fontId="1" fillId="0" borderId="12" xfId="2" applyFont="1" applyBorder="1" applyAlignment="1">
      <alignment wrapText="1"/>
    </xf>
    <xf numFmtId="10" fontId="0" fillId="14" borderId="12" xfId="0" applyNumberFormat="1" applyFill="1" applyBorder="1"/>
    <xf numFmtId="10" fontId="0" fillId="14" borderId="12" xfId="2" applyNumberFormat="1" applyFont="1" applyFill="1" applyBorder="1"/>
    <xf numFmtId="164" fontId="0" fillId="14" borderId="12" xfId="0" applyNumberFormat="1" applyFill="1" applyBorder="1"/>
    <xf numFmtId="0" fontId="0" fillId="14" borderId="3" xfId="0" applyFont="1" applyFill="1" applyBorder="1"/>
    <xf numFmtId="0" fontId="0" fillId="14" borderId="0" xfId="1" applyNumberFormat="1" applyFont="1" applyFill="1" applyBorder="1"/>
    <xf numFmtId="164" fontId="0" fillId="14" borderId="4" xfId="1" applyNumberFormat="1" applyFont="1" applyFill="1" applyBorder="1"/>
    <xf numFmtId="0" fontId="0" fillId="14" borderId="5" xfId="0" applyFont="1" applyFill="1" applyBorder="1"/>
    <xf numFmtId="164" fontId="0" fillId="14" borderId="6" xfId="1" applyNumberFormat="1" applyFont="1" applyFill="1" applyBorder="1"/>
    <xf numFmtId="0" fontId="0" fillId="0" borderId="0" xfId="0" applyAlignment="1">
      <alignment horizontal="center"/>
    </xf>
    <xf numFmtId="0" fontId="1" fillId="15" borderId="12" xfId="0" applyFont="1" applyFill="1" applyBorder="1" applyAlignment="1">
      <alignment horizontal="center" wrapText="1"/>
    </xf>
    <xf numFmtId="0" fontId="1" fillId="16" borderId="12" xfId="0" applyFont="1" applyFill="1" applyBorder="1" applyAlignment="1">
      <alignment horizontal="center"/>
    </xf>
    <xf numFmtId="0" fontId="1" fillId="17" borderId="12" xfId="0" applyFont="1" applyFill="1" applyBorder="1" applyAlignment="1">
      <alignment horizontal="center"/>
    </xf>
    <xf numFmtId="0" fontId="0" fillId="14" borderId="12" xfId="0" applyFill="1" applyBorder="1" applyAlignment="1">
      <alignment horizontal="center" wrapText="1"/>
    </xf>
    <xf numFmtId="0" fontId="0" fillId="16" borderId="12" xfId="0" applyFill="1" applyBorder="1" applyAlignment="1">
      <alignment horizontal="center" wrapText="1"/>
    </xf>
    <xf numFmtId="0" fontId="0" fillId="17" borderId="12" xfId="0" applyFill="1" applyBorder="1" applyAlignment="1">
      <alignment horizontal="center" wrapText="1"/>
    </xf>
    <xf numFmtId="166" fontId="0" fillId="15" borderId="12" xfId="1" applyNumberFormat="1" applyFont="1" applyFill="1" applyBorder="1" applyAlignment="1">
      <alignment wrapText="1"/>
    </xf>
    <xf numFmtId="166" fontId="17" fillId="14" borderId="12" xfId="0" applyNumberFormat="1" applyFont="1" applyFill="1" applyBorder="1"/>
    <xf numFmtId="0" fontId="1" fillId="0" borderId="22" xfId="0" applyFont="1" applyBorder="1" applyAlignment="1">
      <alignment horizontal="center"/>
    </xf>
    <xf numFmtId="0" fontId="1" fillId="15" borderId="12" xfId="0" applyNumberFormat="1" applyFont="1" applyFill="1" applyBorder="1" applyAlignment="1">
      <alignment horizontal="center"/>
    </xf>
    <xf numFmtId="44" fontId="0" fillId="15" borderId="12" xfId="1" applyFont="1" applyFill="1" applyBorder="1" applyAlignment="1">
      <alignment wrapText="1"/>
    </xf>
    <xf numFmtId="44" fontId="3" fillId="15" borderId="12" xfId="1" applyFont="1" applyFill="1" applyBorder="1" applyAlignment="1">
      <alignment horizontal="center" wrapText="1"/>
    </xf>
    <xf numFmtId="164" fontId="3" fillId="15" borderId="12" xfId="1" applyNumberFormat="1" applyFont="1" applyFill="1" applyBorder="1" applyAlignment="1">
      <alignment horizontal="center" wrapText="1"/>
    </xf>
    <xf numFmtId="0" fontId="0" fillId="14" borderId="21" xfId="0" applyFont="1" applyFill="1" applyBorder="1" applyAlignment="1">
      <alignment horizontal="center" wrapText="1"/>
    </xf>
    <xf numFmtId="0" fontId="0" fillId="14" borderId="12" xfId="0" applyFont="1" applyFill="1" applyBorder="1" applyAlignment="1">
      <alignment horizontal="center" wrapText="1"/>
    </xf>
    <xf numFmtId="44" fontId="0" fillId="14" borderId="12" xfId="1" applyFont="1" applyFill="1" applyBorder="1" applyAlignment="1">
      <alignment horizontal="center" wrapText="1"/>
    </xf>
    <xf numFmtId="164" fontId="0" fillId="15" borderId="12" xfId="1" applyNumberFormat="1" applyFont="1" applyFill="1" applyBorder="1" applyAlignment="1">
      <alignment wrapText="1"/>
    </xf>
    <xf numFmtId="44" fontId="0" fillId="14" borderId="12" xfId="1" applyFont="1" applyFill="1" applyBorder="1" applyAlignment="1">
      <alignment wrapText="1"/>
    </xf>
    <xf numFmtId="164" fontId="0" fillId="16" borderId="12" xfId="0" applyNumberFormat="1" applyFill="1" applyBorder="1" applyAlignment="1">
      <alignment horizontal="center" wrapText="1"/>
    </xf>
    <xf numFmtId="166" fontId="0" fillId="0" borderId="0" xfId="0" applyNumberFormat="1" applyFill="1"/>
    <xf numFmtId="169" fontId="0" fillId="0" borderId="0" xfId="0" applyNumberFormat="1" applyFill="1"/>
    <xf numFmtId="164" fontId="0" fillId="0" borderId="0" xfId="1" applyNumberFormat="1" applyFont="1" applyFill="1"/>
    <xf numFmtId="166" fontId="1" fillId="16" borderId="0" xfId="1" applyNumberFormat="1" applyFont="1" applyFill="1"/>
    <xf numFmtId="164" fontId="1" fillId="17" borderId="0" xfId="1" applyNumberFormat="1" applyFont="1" applyFill="1"/>
    <xf numFmtId="0" fontId="1" fillId="0" borderId="12" xfId="0" applyFont="1" applyFill="1" applyBorder="1" applyAlignment="1">
      <alignment horizontal="center" wrapText="1"/>
    </xf>
    <xf numFmtId="9" fontId="1" fillId="0" borderId="12" xfId="2" applyFont="1" applyFill="1" applyBorder="1" applyAlignment="1">
      <alignment horizontal="center" wrapText="1"/>
    </xf>
    <xf numFmtId="164" fontId="0" fillId="14" borderId="12" xfId="1" applyNumberFormat="1" applyFont="1" applyFill="1" applyBorder="1" applyAlignment="1">
      <alignment wrapText="1"/>
    </xf>
    <xf numFmtId="2" fontId="1" fillId="0" borderId="0" xfId="0" applyNumberFormat="1" applyFont="1" applyBorder="1"/>
    <xf numFmtId="164" fontId="0" fillId="0" borderId="4" xfId="0" applyNumberFormat="1" applyBorder="1"/>
    <xf numFmtId="164" fontId="1" fillId="0" borderId="6" xfId="0" applyNumberFormat="1" applyFont="1" applyBorder="1"/>
    <xf numFmtId="164" fontId="0" fillId="0" borderId="0" xfId="1" applyNumberFormat="1" applyFont="1" applyBorder="1"/>
    <xf numFmtId="164" fontId="0" fillId="17" borderId="12" xfId="0" applyNumberFormat="1" applyFill="1" applyBorder="1" applyAlignment="1">
      <alignment horizontal="center" wrapText="1"/>
    </xf>
    <xf numFmtId="164" fontId="1" fillId="0" borderId="0" xfId="1" applyNumberFormat="1" applyFont="1" applyBorder="1"/>
    <xf numFmtId="164" fontId="5" fillId="0" borderId="8" xfId="1" applyNumberFormat="1" applyFont="1" applyFill="1" applyBorder="1"/>
    <xf numFmtId="164" fontId="1" fillId="4" borderId="6" xfId="1" applyNumberFormat="1" applyFont="1" applyFill="1" applyBorder="1"/>
    <xf numFmtId="164" fontId="0" fillId="0" borderId="2" xfId="0" applyNumberFormat="1" applyBorder="1" applyAlignment="1">
      <alignment horizontal="center"/>
    </xf>
    <xf numFmtId="164" fontId="0" fillId="0" borderId="4" xfId="1" applyNumberFormat="1" applyFont="1" applyBorder="1"/>
    <xf numFmtId="164" fontId="1" fillId="4" borderId="6" xfId="0" applyNumberFormat="1" applyFont="1" applyFill="1" applyBorder="1"/>
    <xf numFmtId="164" fontId="0" fillId="14" borderId="0" xfId="1" applyNumberFormat="1" applyFont="1" applyFill="1" applyBorder="1"/>
    <xf numFmtId="164" fontId="0" fillId="14" borderId="8" xfId="1" applyNumberFormat="1" applyFont="1" applyFill="1" applyBorder="1"/>
    <xf numFmtId="164" fontId="0" fillId="0" borderId="0" xfId="0" applyNumberFormat="1" applyFont="1"/>
    <xf numFmtId="164" fontId="7" fillId="3" borderId="20" xfId="1" applyNumberFormat="1" applyFont="1" applyFill="1" applyBorder="1"/>
    <xf numFmtId="164" fontId="1" fillId="0" borderId="18" xfId="1" applyNumberFormat="1" applyFont="1" applyBorder="1"/>
    <xf numFmtId="0" fontId="0" fillId="0" borderId="0" xfId="0" applyFont="1" applyFill="1"/>
    <xf numFmtId="0" fontId="16" fillId="8" borderId="0" xfId="3" applyFill="1" applyAlignment="1">
      <alignment vertical="top" wrapText="1"/>
    </xf>
    <xf numFmtId="3" fontId="0" fillId="0" borderId="0" xfId="0" applyNumberFormat="1" applyFont="1"/>
    <xf numFmtId="170" fontId="0" fillId="0" borderId="0" xfId="0" applyNumberFormat="1"/>
    <xf numFmtId="1" fontId="0" fillId="0" borderId="0" xfId="0" applyNumberFormat="1"/>
    <xf numFmtId="164" fontId="0" fillId="0" borderId="1" xfId="1" applyNumberFormat="1" applyFont="1" applyFill="1" applyBorder="1" applyAlignment="1">
      <alignment wrapText="1"/>
    </xf>
    <xf numFmtId="164" fontId="0" fillId="0" borderId="0" xfId="0" applyNumberFormat="1" applyBorder="1"/>
    <xf numFmtId="164" fontId="0" fillId="0" borderId="8" xfId="0" applyNumberFormat="1" applyFont="1" applyBorder="1"/>
    <xf numFmtId="2" fontId="0" fillId="0" borderId="0" xfId="0" applyNumberFormat="1"/>
    <xf numFmtId="164" fontId="0" fillId="0" borderId="8" xfId="1" applyNumberFormat="1" applyFont="1" applyFill="1" applyBorder="1"/>
    <xf numFmtId="164" fontId="1" fillId="0" borderId="16" xfId="0" applyNumberFormat="1" applyFont="1" applyBorder="1"/>
    <xf numFmtId="0" fontId="0" fillId="14" borderId="1" xfId="0" applyFont="1" applyFill="1" applyBorder="1"/>
    <xf numFmtId="164" fontId="0" fillId="14" borderId="7" xfId="0" applyNumberFormat="1" applyFont="1" applyFill="1" applyBorder="1"/>
    <xf numFmtId="164" fontId="0" fillId="14" borderId="2" xfId="0" applyNumberFormat="1" applyFont="1" applyFill="1" applyBorder="1"/>
    <xf numFmtId="0" fontId="1" fillId="15" borderId="12" xfId="0" applyFont="1" applyFill="1" applyBorder="1" applyAlignment="1"/>
    <xf numFmtId="0" fontId="1" fillId="14" borderId="12" xfId="0" applyFont="1" applyFill="1" applyBorder="1" applyAlignment="1"/>
    <xf numFmtId="0" fontId="1" fillId="0" borderId="3" xfId="0" applyFont="1" applyFill="1" applyBorder="1"/>
    <xf numFmtId="166" fontId="0" fillId="0" borderId="0" xfId="1" applyNumberFormat="1" applyFont="1" applyBorder="1"/>
    <xf numFmtId="166" fontId="0" fillId="0" borderId="4" xfId="0" applyNumberFormat="1" applyBorder="1"/>
    <xf numFmtId="164" fontId="0" fillId="0" borderId="5" xfId="0" applyNumberFormat="1" applyBorder="1"/>
    <xf numFmtId="164" fontId="0" fillId="0" borderId="7" xfId="1" applyNumberFormat="1" applyFont="1" applyFill="1" applyBorder="1"/>
    <xf numFmtId="0" fontId="0" fillId="0" borderId="7" xfId="1" applyNumberFormat="1" applyFont="1" applyFill="1" applyBorder="1"/>
    <xf numFmtId="0" fontId="0" fillId="0" borderId="8" xfId="1" applyNumberFormat="1" applyFont="1" applyFill="1" applyBorder="1"/>
    <xf numFmtId="166" fontId="0" fillId="16" borderId="12" xfId="0" applyNumberFormat="1" applyFill="1" applyBorder="1" applyAlignment="1">
      <alignment horizontal="center" wrapText="1"/>
    </xf>
    <xf numFmtId="166" fontId="0" fillId="17" borderId="12" xfId="1" applyNumberFormat="1" applyFont="1" applyFill="1" applyBorder="1" applyAlignment="1">
      <alignment horizontal="center" wrapText="1"/>
    </xf>
    <xf numFmtId="166" fontId="0" fillId="14" borderId="12" xfId="1" applyNumberFormat="1" applyFont="1" applyFill="1" applyBorder="1" applyAlignment="1">
      <alignment horizontal="center" wrapText="1"/>
    </xf>
    <xf numFmtId="166" fontId="0" fillId="14" borderId="12" xfId="0" applyNumberFormat="1" applyFill="1" applyBorder="1"/>
    <xf numFmtId="166" fontId="0" fillId="0" borderId="0" xfId="0" applyNumberFormat="1" applyBorder="1"/>
    <xf numFmtId="164" fontId="1" fillId="0" borderId="15" xfId="1" applyNumberFormat="1" applyFont="1" applyBorder="1"/>
    <xf numFmtId="164" fontId="1" fillId="0" borderId="17" xfId="1" applyNumberFormat="1" applyFont="1" applyBorder="1"/>
    <xf numFmtId="166" fontId="0" fillId="0" borderId="7" xfId="0" applyNumberFormat="1" applyBorder="1"/>
    <xf numFmtId="166" fontId="1" fillId="0" borderId="8" xfId="0" applyNumberFormat="1" applyFont="1" applyBorder="1"/>
    <xf numFmtId="0" fontId="25" fillId="9" borderId="12" xfId="0" applyFont="1" applyFill="1" applyBorder="1" applyAlignment="1">
      <alignment horizontal="center" vertical="center" wrapText="1"/>
    </xf>
    <xf numFmtId="0" fontId="24" fillId="10" borderId="12" xfId="0" applyFont="1" applyFill="1" applyBorder="1" applyAlignment="1">
      <alignment horizontal="left" vertical="top" wrapText="1"/>
    </xf>
    <xf numFmtId="0" fontId="22" fillId="12" borderId="12" xfId="0" applyFont="1" applyFill="1" applyBorder="1" applyAlignment="1">
      <alignment horizontal="left" vertical="top" wrapText="1"/>
    </xf>
    <xf numFmtId="0" fontId="1" fillId="15" borderId="12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6" fillId="3" borderId="11" xfId="0" applyFont="1" applyFill="1" applyBorder="1" applyAlignment="1">
      <alignment horizontal="left" wrapText="1"/>
    </xf>
    <xf numFmtId="0" fontId="6" fillId="3" borderId="12" xfId="0" applyFont="1" applyFill="1" applyBorder="1" applyAlignment="1">
      <alignment horizontal="left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ortation.gov/sites/dot.gov/files/2022-03/Benefit%20Cost%20Analysis%20Guidance%202022%20Update.pdf" TargetMode="External"/><Relationship Id="rId2" Type="http://schemas.openxmlformats.org/officeDocument/2006/relationships/hyperlink" Target="https://www.transportation.gov/sites/dot.gov/files/2022-03/Benefit%20Cost%20Analysis%20Guidance%202022%20Update.pdf" TargetMode="External"/><Relationship Id="rId1" Type="http://schemas.openxmlformats.org/officeDocument/2006/relationships/hyperlink" Target="https://www.transportation.gov/sites/dot.gov/files/2022-03/Benefit%20Cost%20Analysis%20Guidance%202022%20Update.pdf" TargetMode="External"/><Relationship Id="rId5" Type="http://schemas.openxmlformats.org/officeDocument/2006/relationships/hyperlink" Target="https://www.nber.org/papers/w20296" TargetMode="External"/><Relationship Id="rId4" Type="http://schemas.openxmlformats.org/officeDocument/2006/relationships/hyperlink" Target="https://www.transportation.gov/sites/dot.gov/files/2022-03/Benefit%20Cost%20Analysis%20Guidance%202022%20Update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E9A7B-5EBA-4D0A-8B4E-31BFECFD9B4B}">
  <sheetPr>
    <tabColor rgb="FF7030A0"/>
  </sheetPr>
  <dimension ref="B2:B4"/>
  <sheetViews>
    <sheetView tabSelected="1" workbookViewId="0">
      <selection activeCell="B4" sqref="B4"/>
    </sheetView>
  </sheetViews>
  <sheetFormatPr defaultRowHeight="14.5" x14ac:dyDescent="0.35"/>
  <cols>
    <col min="2" max="2" width="16.08984375" bestFit="1" customWidth="1"/>
  </cols>
  <sheetData>
    <row r="2" spans="2:2" ht="23.5" x14ac:dyDescent="0.55000000000000004">
      <c r="B2" s="122" t="s">
        <v>88</v>
      </c>
    </row>
    <row r="4" spans="2:2" ht="23.5" x14ac:dyDescent="0.55000000000000004">
      <c r="B4" s="123">
        <v>44643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5CCA7-BA6D-4C3A-8937-E42275810A18}">
  <sheetPr>
    <tabColor rgb="FF7030A0"/>
  </sheetPr>
  <dimension ref="A1:H221"/>
  <sheetViews>
    <sheetView workbookViewId="0"/>
  </sheetViews>
  <sheetFormatPr defaultColWidth="9.08984375" defaultRowHeight="12.5" x14ac:dyDescent="0.35"/>
  <cols>
    <col min="1" max="1" width="36.08984375" style="154" customWidth="1"/>
    <col min="2" max="2" width="128.90625" style="154" customWidth="1"/>
    <col min="3" max="3" width="9.08984375" style="153"/>
    <col min="4" max="4" width="44.90625" style="153" customWidth="1"/>
    <col min="5" max="7" width="9.08984375" style="153"/>
    <col min="8" max="16384" width="9.08984375" style="154"/>
  </cols>
  <sheetData>
    <row r="1" spans="1:8" x14ac:dyDescent="0.35">
      <c r="A1" s="152"/>
      <c r="B1" s="153"/>
    </row>
    <row r="2" spans="1:8" ht="23" x14ac:dyDescent="0.35">
      <c r="A2" s="128" t="str">
        <f>'Title Sheet'!B2</f>
        <v>Benefit-Cost Analysis Spreadsheet for the Englewood Line</v>
      </c>
      <c r="B2" s="128"/>
    </row>
    <row r="3" spans="1:8" ht="13" x14ac:dyDescent="0.35">
      <c r="A3" s="155"/>
      <c r="B3" s="153"/>
    </row>
    <row r="4" spans="1:8" ht="13" x14ac:dyDescent="0.35">
      <c r="A4" s="155"/>
      <c r="B4" s="153"/>
      <c r="C4" s="156"/>
      <c r="D4" s="156"/>
      <c r="E4" s="156"/>
      <c r="F4" s="156"/>
      <c r="G4" s="156"/>
      <c r="H4" s="157"/>
    </row>
    <row r="5" spans="1:8" ht="26.25" customHeight="1" x14ac:dyDescent="0.35">
      <c r="A5" s="265" t="s">
        <v>108</v>
      </c>
      <c r="B5" s="265"/>
      <c r="C5" s="156"/>
      <c r="D5" s="156"/>
      <c r="E5" s="156"/>
      <c r="F5" s="156"/>
      <c r="G5" s="156"/>
      <c r="H5" s="157"/>
    </row>
    <row r="6" spans="1:8" s="157" customFormat="1" ht="35.25" customHeight="1" x14ac:dyDescent="0.35">
      <c r="A6" s="266" t="s">
        <v>109</v>
      </c>
      <c r="B6" s="266"/>
      <c r="C6" s="156"/>
      <c r="D6" s="156"/>
      <c r="E6" s="156"/>
      <c r="F6" s="156"/>
      <c r="G6" s="156"/>
    </row>
    <row r="7" spans="1:8" s="157" customFormat="1" ht="13" x14ac:dyDescent="0.35">
      <c r="C7" s="156"/>
      <c r="D7" s="156"/>
      <c r="E7" s="156"/>
      <c r="F7" s="156"/>
      <c r="G7" s="156"/>
    </row>
    <row r="8" spans="1:8" s="157" customFormat="1" ht="13" x14ac:dyDescent="0.35">
      <c r="A8" s="158" t="s">
        <v>110</v>
      </c>
      <c r="B8" s="158" t="s">
        <v>111</v>
      </c>
      <c r="C8" s="156"/>
      <c r="D8" s="156"/>
      <c r="E8" s="156"/>
      <c r="F8" s="156"/>
      <c r="G8" s="156"/>
    </row>
    <row r="9" spans="1:8" s="157" customFormat="1" ht="13" x14ac:dyDescent="0.35">
      <c r="A9" s="267" t="s">
        <v>112</v>
      </c>
      <c r="B9" s="159" t="s">
        <v>113</v>
      </c>
      <c r="C9" s="156"/>
      <c r="D9" s="156"/>
      <c r="E9" s="156"/>
      <c r="F9" s="156"/>
      <c r="G9" s="156"/>
    </row>
    <row r="10" spans="1:8" s="157" customFormat="1" ht="13" x14ac:dyDescent="0.35">
      <c r="A10" s="267"/>
      <c r="B10" s="159" t="s">
        <v>114</v>
      </c>
      <c r="C10" s="156"/>
      <c r="D10" s="156"/>
      <c r="E10" s="156"/>
      <c r="F10" s="156"/>
      <c r="G10" s="156"/>
    </row>
    <row r="11" spans="1:8" s="157" customFormat="1" ht="13" x14ac:dyDescent="0.35">
      <c r="A11" s="267"/>
      <c r="B11" s="159" t="s">
        <v>129</v>
      </c>
      <c r="C11" s="156"/>
      <c r="D11" s="156"/>
      <c r="E11" s="156"/>
      <c r="F11" s="156"/>
      <c r="G11" s="156"/>
    </row>
    <row r="12" spans="1:8" s="157" customFormat="1" ht="13" x14ac:dyDescent="0.35">
      <c r="A12" s="267"/>
      <c r="B12" s="160" t="s">
        <v>130</v>
      </c>
      <c r="C12" s="156"/>
      <c r="D12" s="156"/>
      <c r="E12" s="156"/>
      <c r="F12" s="156"/>
      <c r="G12" s="156"/>
    </row>
    <row r="13" spans="1:8" s="157" customFormat="1" ht="13" x14ac:dyDescent="0.35">
      <c r="A13" s="267"/>
      <c r="B13" s="159" t="s">
        <v>131</v>
      </c>
      <c r="C13" s="156"/>
      <c r="D13" s="156"/>
      <c r="E13" s="156"/>
      <c r="F13" s="156"/>
      <c r="G13" s="156"/>
    </row>
    <row r="14" spans="1:8" s="157" customFormat="1" ht="13" x14ac:dyDescent="0.35">
      <c r="A14" s="267"/>
      <c r="B14" s="159" t="s">
        <v>132</v>
      </c>
      <c r="C14" s="156"/>
      <c r="D14" s="156"/>
      <c r="E14" s="156"/>
      <c r="F14" s="156"/>
      <c r="G14" s="156"/>
    </row>
    <row r="15" spans="1:8" s="157" customFormat="1" ht="27" customHeight="1" x14ac:dyDescent="0.35">
      <c r="A15" s="161" t="s">
        <v>133</v>
      </c>
      <c r="B15" s="161" t="s">
        <v>115</v>
      </c>
      <c r="C15" s="156"/>
      <c r="D15" s="156"/>
      <c r="E15" s="156"/>
      <c r="F15" s="156"/>
      <c r="G15" s="156"/>
    </row>
    <row r="16" spans="1:8" s="157" customFormat="1" ht="27" customHeight="1" x14ac:dyDescent="0.35">
      <c r="A16" s="161" t="s">
        <v>116</v>
      </c>
      <c r="B16" s="161" t="s">
        <v>157</v>
      </c>
      <c r="C16" s="156"/>
      <c r="D16" s="156"/>
      <c r="E16" s="156"/>
      <c r="F16" s="156"/>
      <c r="G16" s="156"/>
    </row>
    <row r="17" spans="1:7" s="157" customFormat="1" ht="27" customHeight="1" x14ac:dyDescent="0.35">
      <c r="A17" s="161" t="s">
        <v>117</v>
      </c>
      <c r="B17" s="161" t="s">
        <v>158</v>
      </c>
      <c r="C17" s="156"/>
      <c r="D17" s="156"/>
      <c r="E17" s="156"/>
      <c r="F17" s="156"/>
      <c r="G17" s="156"/>
    </row>
    <row r="18" spans="1:7" s="157" customFormat="1" ht="27" customHeight="1" x14ac:dyDescent="0.35">
      <c r="A18" s="161" t="s">
        <v>118</v>
      </c>
      <c r="B18" s="161" t="s">
        <v>134</v>
      </c>
      <c r="C18" s="156"/>
      <c r="D18" s="156"/>
      <c r="E18" s="156"/>
      <c r="F18" s="156"/>
      <c r="G18" s="156"/>
    </row>
    <row r="19" spans="1:7" s="157" customFormat="1" ht="44.25" customHeight="1" x14ac:dyDescent="0.35">
      <c r="A19" s="162" t="s">
        <v>2</v>
      </c>
      <c r="B19" s="162" t="s">
        <v>136</v>
      </c>
      <c r="C19" s="156"/>
      <c r="D19" s="156"/>
      <c r="E19" s="156"/>
      <c r="F19" s="156"/>
      <c r="G19" s="156"/>
    </row>
    <row r="20" spans="1:7" s="157" customFormat="1" ht="38.25" customHeight="1" x14ac:dyDescent="0.35">
      <c r="A20" s="163" t="s">
        <v>3</v>
      </c>
      <c r="B20" s="163" t="s">
        <v>135</v>
      </c>
      <c r="C20" s="156"/>
      <c r="D20" s="156"/>
      <c r="E20" s="156"/>
      <c r="F20" s="156"/>
      <c r="G20" s="156"/>
    </row>
    <row r="21" spans="1:7" s="157" customFormat="1" ht="38.25" customHeight="1" x14ac:dyDescent="0.35">
      <c r="A21" s="163" t="s">
        <v>55</v>
      </c>
      <c r="B21" s="163" t="s">
        <v>137</v>
      </c>
      <c r="C21" s="156"/>
      <c r="D21" s="156"/>
      <c r="E21" s="156"/>
      <c r="F21" s="156"/>
      <c r="G21" s="156"/>
    </row>
    <row r="22" spans="1:7" s="153" customFormat="1" x14ac:dyDescent="0.35"/>
    <row r="23" spans="1:7" s="153" customFormat="1" x14ac:dyDescent="0.35"/>
    <row r="24" spans="1:7" s="153" customFormat="1" x14ac:dyDescent="0.35"/>
    <row r="25" spans="1:7" s="153" customFormat="1" x14ac:dyDescent="0.35"/>
    <row r="26" spans="1:7" s="153" customFormat="1" x14ac:dyDescent="0.35"/>
    <row r="27" spans="1:7" s="153" customFormat="1" x14ac:dyDescent="0.35"/>
    <row r="28" spans="1:7" s="153" customFormat="1" x14ac:dyDescent="0.35"/>
    <row r="29" spans="1:7" s="153" customFormat="1" x14ac:dyDescent="0.35"/>
    <row r="30" spans="1:7" s="153" customFormat="1" x14ac:dyDescent="0.35"/>
    <row r="31" spans="1:7" s="153" customFormat="1" x14ac:dyDescent="0.35"/>
    <row r="32" spans="1:7" s="153" customFormat="1" x14ac:dyDescent="0.35"/>
    <row r="33" s="153" customFormat="1" x14ac:dyDescent="0.35"/>
    <row r="34" s="153" customFormat="1" x14ac:dyDescent="0.35"/>
    <row r="35" s="153" customFormat="1" x14ac:dyDescent="0.35"/>
    <row r="36" s="153" customFormat="1" x14ac:dyDescent="0.35"/>
    <row r="37" s="153" customFormat="1" x14ac:dyDescent="0.35"/>
    <row r="38" s="153" customFormat="1" x14ac:dyDescent="0.35"/>
    <row r="39" s="153" customFormat="1" x14ac:dyDescent="0.35"/>
    <row r="40" s="153" customFormat="1" x14ac:dyDescent="0.35"/>
    <row r="41" s="153" customFormat="1" x14ac:dyDescent="0.35"/>
    <row r="42" s="153" customFormat="1" x14ac:dyDescent="0.35"/>
    <row r="43" s="153" customFormat="1" x14ac:dyDescent="0.35"/>
    <row r="44" s="153" customFormat="1" x14ac:dyDescent="0.35"/>
    <row r="45" s="153" customFormat="1" x14ac:dyDescent="0.35"/>
    <row r="46" s="153" customFormat="1" x14ac:dyDescent="0.35"/>
    <row r="47" s="153" customFormat="1" x14ac:dyDescent="0.35"/>
    <row r="48" s="153" customFormat="1" x14ac:dyDescent="0.35"/>
    <row r="49" s="153" customFormat="1" x14ac:dyDescent="0.35"/>
    <row r="50" s="153" customFormat="1" x14ac:dyDescent="0.35"/>
    <row r="51" s="153" customFormat="1" x14ac:dyDescent="0.35"/>
    <row r="52" s="153" customFormat="1" x14ac:dyDescent="0.35"/>
    <row r="53" s="153" customFormat="1" x14ac:dyDescent="0.35"/>
    <row r="54" s="153" customFormat="1" x14ac:dyDescent="0.35"/>
    <row r="55" s="153" customFormat="1" x14ac:dyDescent="0.35"/>
    <row r="56" s="153" customFormat="1" x14ac:dyDescent="0.35"/>
    <row r="57" s="153" customFormat="1" x14ac:dyDescent="0.35"/>
    <row r="58" s="153" customFormat="1" x14ac:dyDescent="0.35"/>
    <row r="59" s="153" customFormat="1" x14ac:dyDescent="0.35"/>
    <row r="60" s="153" customFormat="1" x14ac:dyDescent="0.35"/>
    <row r="61" s="153" customFormat="1" x14ac:dyDescent="0.35"/>
    <row r="62" s="153" customFormat="1" x14ac:dyDescent="0.35"/>
    <row r="63" s="153" customFormat="1" x14ac:dyDescent="0.35"/>
    <row r="64" s="153" customFormat="1" x14ac:dyDescent="0.35"/>
    <row r="65" s="153" customFormat="1" x14ac:dyDescent="0.35"/>
    <row r="66" s="153" customFormat="1" x14ac:dyDescent="0.35"/>
    <row r="67" s="153" customFormat="1" x14ac:dyDescent="0.35"/>
    <row r="68" s="153" customFormat="1" x14ac:dyDescent="0.35"/>
    <row r="69" s="153" customFormat="1" x14ac:dyDescent="0.35"/>
    <row r="70" s="153" customFormat="1" x14ac:dyDescent="0.35"/>
    <row r="71" s="153" customFormat="1" x14ac:dyDescent="0.35"/>
    <row r="72" s="153" customFormat="1" x14ac:dyDescent="0.35"/>
    <row r="73" s="153" customFormat="1" x14ac:dyDescent="0.35"/>
    <row r="74" s="153" customFormat="1" x14ac:dyDescent="0.35"/>
    <row r="75" s="153" customFormat="1" x14ac:dyDescent="0.35"/>
    <row r="76" s="153" customFormat="1" x14ac:dyDescent="0.35"/>
    <row r="77" s="153" customFormat="1" x14ac:dyDescent="0.35"/>
    <row r="78" s="153" customFormat="1" x14ac:dyDescent="0.35"/>
    <row r="79" s="153" customFormat="1" x14ac:dyDescent="0.35"/>
    <row r="80" s="153" customFormat="1" x14ac:dyDescent="0.35"/>
    <row r="81" s="153" customFormat="1" x14ac:dyDescent="0.35"/>
    <row r="82" s="153" customFormat="1" x14ac:dyDescent="0.35"/>
    <row r="83" s="153" customFormat="1" x14ac:dyDescent="0.35"/>
    <row r="84" s="153" customFormat="1" x14ac:dyDescent="0.35"/>
    <row r="85" s="153" customFormat="1" x14ac:dyDescent="0.35"/>
    <row r="86" s="153" customFormat="1" x14ac:dyDescent="0.35"/>
    <row r="87" s="153" customFormat="1" x14ac:dyDescent="0.35"/>
    <row r="88" s="153" customFormat="1" x14ac:dyDescent="0.35"/>
    <row r="89" s="153" customFormat="1" x14ac:dyDescent="0.35"/>
    <row r="90" s="153" customFormat="1" x14ac:dyDescent="0.35"/>
    <row r="91" s="153" customFormat="1" x14ac:dyDescent="0.35"/>
    <row r="92" s="153" customFormat="1" x14ac:dyDescent="0.35"/>
    <row r="93" s="153" customFormat="1" x14ac:dyDescent="0.35"/>
    <row r="94" s="153" customFormat="1" x14ac:dyDescent="0.35"/>
    <row r="95" s="153" customFormat="1" x14ac:dyDescent="0.35"/>
    <row r="96" s="153" customFormat="1" x14ac:dyDescent="0.35"/>
    <row r="97" s="153" customFormat="1" x14ac:dyDescent="0.35"/>
    <row r="98" s="153" customFormat="1" x14ac:dyDescent="0.35"/>
    <row r="99" s="153" customFormat="1" x14ac:dyDescent="0.35"/>
    <row r="100" s="153" customFormat="1" x14ac:dyDescent="0.35"/>
    <row r="101" s="153" customFormat="1" x14ac:dyDescent="0.35"/>
    <row r="102" s="153" customFormat="1" x14ac:dyDescent="0.35"/>
    <row r="103" s="153" customFormat="1" x14ac:dyDescent="0.35"/>
    <row r="104" s="153" customFormat="1" x14ac:dyDescent="0.35"/>
    <row r="105" s="153" customFormat="1" x14ac:dyDescent="0.35"/>
    <row r="106" s="153" customFormat="1" x14ac:dyDescent="0.35"/>
    <row r="107" s="153" customFormat="1" x14ac:dyDescent="0.35"/>
    <row r="108" s="153" customFormat="1" x14ac:dyDescent="0.35"/>
    <row r="109" s="153" customFormat="1" x14ac:dyDescent="0.35"/>
    <row r="110" s="153" customFormat="1" x14ac:dyDescent="0.35"/>
    <row r="111" s="153" customFormat="1" x14ac:dyDescent="0.35"/>
    <row r="112" s="153" customFormat="1" x14ac:dyDescent="0.35"/>
    <row r="113" s="153" customFormat="1" x14ac:dyDescent="0.35"/>
    <row r="114" s="153" customFormat="1" x14ac:dyDescent="0.35"/>
    <row r="115" s="153" customFormat="1" x14ac:dyDescent="0.35"/>
    <row r="116" s="153" customFormat="1" x14ac:dyDescent="0.35"/>
    <row r="117" s="153" customFormat="1" x14ac:dyDescent="0.35"/>
    <row r="118" s="153" customFormat="1" x14ac:dyDescent="0.35"/>
    <row r="119" s="153" customFormat="1" x14ac:dyDescent="0.35"/>
    <row r="120" s="153" customFormat="1" x14ac:dyDescent="0.35"/>
    <row r="121" s="153" customFormat="1" x14ac:dyDescent="0.35"/>
    <row r="122" s="153" customFormat="1" x14ac:dyDescent="0.35"/>
    <row r="123" s="153" customFormat="1" x14ac:dyDescent="0.35"/>
    <row r="124" s="153" customFormat="1" x14ac:dyDescent="0.35"/>
    <row r="125" s="153" customFormat="1" x14ac:dyDescent="0.35"/>
    <row r="126" s="153" customFormat="1" x14ac:dyDescent="0.35"/>
    <row r="127" s="153" customFormat="1" x14ac:dyDescent="0.35"/>
    <row r="128" s="153" customFormat="1" x14ac:dyDescent="0.35"/>
    <row r="129" s="153" customFormat="1" x14ac:dyDescent="0.35"/>
    <row r="130" s="153" customFormat="1" x14ac:dyDescent="0.35"/>
    <row r="131" s="153" customFormat="1" x14ac:dyDescent="0.35"/>
    <row r="132" s="153" customFormat="1" x14ac:dyDescent="0.35"/>
    <row r="133" s="153" customFormat="1" x14ac:dyDescent="0.35"/>
    <row r="134" s="153" customFormat="1" x14ac:dyDescent="0.35"/>
    <row r="135" s="153" customFormat="1" x14ac:dyDescent="0.35"/>
    <row r="136" s="153" customFormat="1" x14ac:dyDescent="0.35"/>
    <row r="137" s="153" customFormat="1" x14ac:dyDescent="0.35"/>
    <row r="138" s="153" customFormat="1" x14ac:dyDescent="0.35"/>
    <row r="139" s="153" customFormat="1" x14ac:dyDescent="0.35"/>
    <row r="140" s="153" customFormat="1" x14ac:dyDescent="0.35"/>
    <row r="141" s="153" customFormat="1" x14ac:dyDescent="0.35"/>
    <row r="142" s="153" customFormat="1" x14ac:dyDescent="0.35"/>
    <row r="143" s="153" customFormat="1" x14ac:dyDescent="0.35"/>
    <row r="144" s="153" customFormat="1" x14ac:dyDescent="0.35"/>
    <row r="145" s="153" customFormat="1" x14ac:dyDescent="0.35"/>
    <row r="146" s="153" customFormat="1" x14ac:dyDescent="0.35"/>
    <row r="147" s="153" customFormat="1" x14ac:dyDescent="0.35"/>
    <row r="148" s="153" customFormat="1" x14ac:dyDescent="0.35"/>
    <row r="149" s="153" customFormat="1" x14ac:dyDescent="0.35"/>
    <row r="150" s="153" customFormat="1" x14ac:dyDescent="0.35"/>
    <row r="151" s="153" customFormat="1" x14ac:dyDescent="0.35"/>
    <row r="152" s="153" customFormat="1" x14ac:dyDescent="0.35"/>
    <row r="153" s="153" customFormat="1" x14ac:dyDescent="0.35"/>
    <row r="154" s="153" customFormat="1" x14ac:dyDescent="0.35"/>
    <row r="155" s="153" customFormat="1" x14ac:dyDescent="0.35"/>
    <row r="156" s="153" customFormat="1" x14ac:dyDescent="0.35"/>
    <row r="157" s="153" customFormat="1" x14ac:dyDescent="0.35"/>
    <row r="158" s="153" customFormat="1" x14ac:dyDescent="0.35"/>
    <row r="159" s="153" customFormat="1" x14ac:dyDescent="0.35"/>
    <row r="160" s="153" customFormat="1" x14ac:dyDescent="0.35"/>
    <row r="161" s="153" customFormat="1" x14ac:dyDescent="0.35"/>
    <row r="162" s="153" customFormat="1" x14ac:dyDescent="0.35"/>
    <row r="163" s="153" customFormat="1" x14ac:dyDescent="0.35"/>
    <row r="164" s="153" customFormat="1" x14ac:dyDescent="0.35"/>
    <row r="165" s="153" customFormat="1" x14ac:dyDescent="0.35"/>
    <row r="166" s="153" customFormat="1" x14ac:dyDescent="0.35"/>
    <row r="167" s="153" customFormat="1" x14ac:dyDescent="0.35"/>
    <row r="168" s="153" customFormat="1" x14ac:dyDescent="0.35"/>
    <row r="169" s="153" customFormat="1" x14ac:dyDescent="0.35"/>
    <row r="170" s="153" customFormat="1" x14ac:dyDescent="0.35"/>
    <row r="171" s="153" customFormat="1" x14ac:dyDescent="0.35"/>
    <row r="172" s="153" customFormat="1" x14ac:dyDescent="0.35"/>
    <row r="173" s="153" customFormat="1" x14ac:dyDescent="0.35"/>
    <row r="174" s="153" customFormat="1" x14ac:dyDescent="0.35"/>
    <row r="175" s="153" customFormat="1" x14ac:dyDescent="0.35"/>
    <row r="176" s="153" customFormat="1" x14ac:dyDescent="0.35"/>
    <row r="177" s="153" customFormat="1" x14ac:dyDescent="0.35"/>
    <row r="178" s="153" customFormat="1" x14ac:dyDescent="0.35"/>
    <row r="179" s="153" customFormat="1" x14ac:dyDescent="0.35"/>
    <row r="180" s="153" customFormat="1" x14ac:dyDescent="0.35"/>
    <row r="181" s="153" customFormat="1" x14ac:dyDescent="0.35"/>
    <row r="182" s="153" customFormat="1" x14ac:dyDescent="0.35"/>
    <row r="183" s="153" customFormat="1" x14ac:dyDescent="0.35"/>
    <row r="184" s="153" customFormat="1" x14ac:dyDescent="0.35"/>
    <row r="185" s="153" customFormat="1" x14ac:dyDescent="0.35"/>
    <row r="186" s="153" customFormat="1" x14ac:dyDescent="0.35"/>
    <row r="187" s="153" customFormat="1" x14ac:dyDescent="0.35"/>
    <row r="188" s="153" customFormat="1" x14ac:dyDescent="0.35"/>
    <row r="189" s="153" customFormat="1" x14ac:dyDescent="0.35"/>
    <row r="190" s="153" customFormat="1" x14ac:dyDescent="0.35"/>
    <row r="191" s="153" customFormat="1" x14ac:dyDescent="0.35"/>
    <row r="192" s="153" customFormat="1" x14ac:dyDescent="0.35"/>
    <row r="193" s="153" customFormat="1" x14ac:dyDescent="0.35"/>
    <row r="194" s="153" customFormat="1" x14ac:dyDescent="0.35"/>
    <row r="195" s="153" customFormat="1" x14ac:dyDescent="0.35"/>
    <row r="196" s="153" customFormat="1" x14ac:dyDescent="0.35"/>
    <row r="197" s="153" customFormat="1" x14ac:dyDescent="0.35"/>
    <row r="198" s="153" customFormat="1" x14ac:dyDescent="0.35"/>
    <row r="199" s="153" customFormat="1" x14ac:dyDescent="0.35"/>
    <row r="200" s="153" customFormat="1" x14ac:dyDescent="0.35"/>
    <row r="201" s="153" customFormat="1" x14ac:dyDescent="0.35"/>
    <row r="202" s="153" customFormat="1" x14ac:dyDescent="0.35"/>
    <row r="203" s="153" customFormat="1" x14ac:dyDescent="0.35"/>
    <row r="204" s="153" customFormat="1" x14ac:dyDescent="0.35"/>
    <row r="205" s="153" customFormat="1" x14ac:dyDescent="0.35"/>
    <row r="206" s="153" customFormat="1" x14ac:dyDescent="0.35"/>
    <row r="207" s="153" customFormat="1" x14ac:dyDescent="0.35"/>
    <row r="208" s="153" customFormat="1" x14ac:dyDescent="0.35"/>
    <row r="209" s="153" customFormat="1" x14ac:dyDescent="0.35"/>
    <row r="210" s="153" customFormat="1" x14ac:dyDescent="0.35"/>
    <row r="211" s="153" customFormat="1" x14ac:dyDescent="0.35"/>
    <row r="212" s="153" customFormat="1" x14ac:dyDescent="0.35"/>
    <row r="213" s="153" customFormat="1" x14ac:dyDescent="0.35"/>
    <row r="214" s="153" customFormat="1" x14ac:dyDescent="0.35"/>
    <row r="215" s="153" customFormat="1" x14ac:dyDescent="0.35"/>
    <row r="216" s="153" customFormat="1" x14ac:dyDescent="0.35"/>
    <row r="217" s="153" customFormat="1" x14ac:dyDescent="0.35"/>
    <row r="218" s="153" customFormat="1" x14ac:dyDescent="0.35"/>
    <row r="219" s="153" customFormat="1" x14ac:dyDescent="0.35"/>
    <row r="220" s="153" customFormat="1" x14ac:dyDescent="0.35"/>
    <row r="221" s="153" customFormat="1" x14ac:dyDescent="0.35"/>
  </sheetData>
  <mergeCells count="3">
    <mergeCell ref="A5:B5"/>
    <mergeCell ref="A6:B6"/>
    <mergeCell ref="A9:A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C6070-E02A-4D80-B079-772EB832CED2}">
  <sheetPr>
    <tabColor theme="8" tint="0.59999389629810485"/>
  </sheetPr>
  <dimension ref="B2:I22"/>
  <sheetViews>
    <sheetView workbookViewId="0">
      <selection activeCell="C12" sqref="C12"/>
    </sheetView>
  </sheetViews>
  <sheetFormatPr defaultRowHeight="14.5" x14ac:dyDescent="0.35"/>
  <cols>
    <col min="2" max="2" width="22.54296875" bestFit="1" customWidth="1"/>
    <col min="3" max="3" width="22.54296875" customWidth="1"/>
    <col min="4" max="4" width="23.90625" bestFit="1" customWidth="1"/>
    <col min="6" max="6" width="22.54296875" bestFit="1" customWidth="1"/>
    <col min="7" max="7" width="22.54296875" customWidth="1"/>
    <col min="8" max="8" width="23.90625" bestFit="1" customWidth="1"/>
    <col min="9" max="9" width="16.08984375" bestFit="1" customWidth="1"/>
  </cols>
  <sheetData>
    <row r="2" spans="2:9" ht="23.5" x14ac:dyDescent="0.55000000000000004">
      <c r="B2" s="122" t="str">
        <f>'Title Sheet'!B2</f>
        <v>Benefit-Cost Analysis Spreadsheet for the Englewood Line</v>
      </c>
    </row>
    <row r="4" spans="2:9" ht="15" thickBot="1" x14ac:dyDescent="0.4">
      <c r="B4" s="1" t="s">
        <v>0</v>
      </c>
      <c r="C4" s="1"/>
      <c r="F4" s="23"/>
      <c r="G4" s="23"/>
      <c r="H4" s="10"/>
      <c r="I4" s="10"/>
    </row>
    <row r="5" spans="2:9" x14ac:dyDescent="0.35">
      <c r="B5" s="15" t="s">
        <v>4</v>
      </c>
      <c r="C5" s="263">
        <f>'BCA Summary Nominal'!B33</f>
        <v>68236853.825856894</v>
      </c>
      <c r="D5" s="105">
        <f>'Project Capital Costs'!J26</f>
        <v>45715927.534508526</v>
      </c>
      <c r="F5" s="10"/>
      <c r="G5" s="10"/>
      <c r="H5" s="173"/>
      <c r="I5" s="10"/>
    </row>
    <row r="6" spans="2:9" x14ac:dyDescent="0.35">
      <c r="B6" s="5" t="s">
        <v>57</v>
      </c>
      <c r="C6" s="260">
        <v>0</v>
      </c>
      <c r="D6" s="251">
        <v>0</v>
      </c>
      <c r="F6" s="10"/>
      <c r="G6" s="10"/>
      <c r="H6" s="10"/>
      <c r="I6" s="10"/>
    </row>
    <row r="7" spans="2:9" ht="15" thickBot="1" x14ac:dyDescent="0.4">
      <c r="B7" s="16" t="s">
        <v>58</v>
      </c>
      <c r="C7" s="264">
        <f>SUM(C5:C6)</f>
        <v>68236853.825856894</v>
      </c>
      <c r="D7" s="219">
        <f>SUM(D5:D6)</f>
        <v>45715927.534508526</v>
      </c>
      <c r="F7" s="23"/>
      <c r="G7" s="23"/>
      <c r="H7" s="81"/>
      <c r="I7" s="11"/>
    </row>
    <row r="8" spans="2:9" x14ac:dyDescent="0.35">
      <c r="F8" s="10"/>
      <c r="G8" s="10"/>
      <c r="H8" s="10"/>
      <c r="I8" s="10"/>
    </row>
    <row r="9" spans="2:9" ht="15" thickBot="1" x14ac:dyDescent="0.4">
      <c r="B9" s="1" t="s">
        <v>1</v>
      </c>
      <c r="C9" s="1"/>
      <c r="F9" s="23"/>
      <c r="G9" s="23"/>
      <c r="H9" s="10"/>
      <c r="I9" s="10"/>
    </row>
    <row r="10" spans="2:9" x14ac:dyDescent="0.35">
      <c r="B10" s="174"/>
      <c r="C10" s="67" t="s">
        <v>41</v>
      </c>
      <c r="D10" s="87" t="s">
        <v>142</v>
      </c>
      <c r="F10" s="23"/>
      <c r="G10" s="28"/>
      <c r="H10" s="10"/>
      <c r="I10" s="10"/>
    </row>
    <row r="11" spans="2:9" x14ac:dyDescent="0.35">
      <c r="B11" s="249" t="s">
        <v>170</v>
      </c>
      <c r="C11" s="250">
        <f>-('O&amp;M Costs'!C26)</f>
        <v>-20000000</v>
      </c>
      <c r="D11" s="251">
        <f>-('O&amp;M Costs'!E26)</f>
        <v>-7059239.0115010506</v>
      </c>
      <c r="F11" s="10"/>
      <c r="G11" s="173"/>
      <c r="H11" s="173"/>
      <c r="I11" s="11"/>
    </row>
    <row r="12" spans="2:9" x14ac:dyDescent="0.35">
      <c r="B12" s="5" t="s">
        <v>2</v>
      </c>
      <c r="C12" s="239">
        <f>'Traffic Safety Benefits'!G5</f>
        <v>70105387.999999985</v>
      </c>
      <c r="D12" s="218">
        <f>'Traffic Safety Benefits'!H5</f>
        <v>24744534.494300891</v>
      </c>
      <c r="F12" s="10"/>
      <c r="G12" s="173"/>
      <c r="H12" s="173"/>
      <c r="I12" s="11"/>
    </row>
    <row r="13" spans="2:9" x14ac:dyDescent="0.35">
      <c r="B13" s="5" t="s">
        <v>3</v>
      </c>
      <c r="C13" s="220">
        <f>'Property Value Benefits'!D4</f>
        <v>441976.144852</v>
      </c>
      <c r="D13" s="218">
        <f>'Property Value Benefits'!E4</f>
        <v>275240.53012572962</v>
      </c>
      <c r="F13" s="10"/>
      <c r="G13" s="173"/>
      <c r="H13" s="173"/>
      <c r="I13" s="11"/>
    </row>
    <row r="14" spans="2:9" x14ac:dyDescent="0.35">
      <c r="B14" s="5" t="s">
        <v>55</v>
      </c>
      <c r="C14" s="239">
        <f>'Remediation Benefits'!D5</f>
        <v>62755813.699425004</v>
      </c>
      <c r="D14" s="218">
        <f>'Remediation Benefits'!E5</f>
        <v>39081166.783074409</v>
      </c>
      <c r="F14" s="23"/>
      <c r="G14" s="81"/>
      <c r="H14" s="81"/>
      <c r="I14" s="11"/>
    </row>
    <row r="15" spans="2:9" ht="15" thickBot="1" x14ac:dyDescent="0.4">
      <c r="B15" s="16" t="s">
        <v>56</v>
      </c>
      <c r="C15" s="240">
        <f>SUM(C11:C14)</f>
        <v>113303177.84427699</v>
      </c>
      <c r="D15" s="219">
        <f>SUM(D11:D14)</f>
        <v>57041702.795999974</v>
      </c>
      <c r="F15" s="10"/>
      <c r="G15" s="10"/>
      <c r="H15" s="10"/>
      <c r="I15" s="10"/>
    </row>
    <row r="16" spans="2:9" x14ac:dyDescent="0.35">
      <c r="F16" s="10"/>
      <c r="G16" s="10"/>
      <c r="H16" s="10"/>
      <c r="I16" s="10"/>
    </row>
    <row r="17" spans="2:9" x14ac:dyDescent="0.35">
      <c r="B17" s="1" t="s">
        <v>59</v>
      </c>
      <c r="C17" s="120">
        <f>C15/C7</f>
        <v>1.6604396523531275</v>
      </c>
      <c r="D17" s="80">
        <f>D15/D7</f>
        <v>1.2477424362207727</v>
      </c>
      <c r="F17" s="23"/>
      <c r="G17" s="217"/>
      <c r="H17" s="10"/>
      <c r="I17" s="10"/>
    </row>
    <row r="18" spans="2:9" x14ac:dyDescent="0.35">
      <c r="F18" s="10"/>
      <c r="G18" s="10"/>
      <c r="H18" s="10"/>
      <c r="I18" s="10"/>
    </row>
    <row r="19" spans="2:9" x14ac:dyDescent="0.35">
      <c r="B19" s="30" t="s">
        <v>172</v>
      </c>
      <c r="C19" s="114">
        <f>C15-C7</f>
        <v>45066324.0184201</v>
      </c>
      <c r="D19" s="114">
        <f>D15-D7</f>
        <v>11325775.261491448</v>
      </c>
    </row>
    <row r="22" spans="2:9" x14ac:dyDescent="0.35">
      <c r="C22" s="241"/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B73E5-E430-481F-A1EF-88850D72B2DD}">
  <sheetPr>
    <tabColor rgb="FFFFC000"/>
  </sheetPr>
  <dimension ref="A1:O33"/>
  <sheetViews>
    <sheetView workbookViewId="0">
      <selection activeCell="A15" sqref="A15"/>
    </sheetView>
  </sheetViews>
  <sheetFormatPr defaultRowHeight="14.5" x14ac:dyDescent="0.35"/>
  <cols>
    <col min="1" max="1" width="38.90625" customWidth="1"/>
    <col min="2" max="2" width="20.54296875" bestFit="1" customWidth="1"/>
    <col min="3" max="3" width="16.90625" style="150" bestFit="1" customWidth="1"/>
    <col min="4" max="4" width="16.90625" style="151" customWidth="1"/>
    <col min="5" max="5" width="58.08984375" customWidth="1"/>
    <col min="6" max="6" width="60.08984375" style="113" customWidth="1"/>
    <col min="7" max="7" width="24" customWidth="1"/>
    <col min="9" max="9" width="19" customWidth="1"/>
  </cols>
  <sheetData>
    <row r="1" spans="1:15" x14ac:dyDescent="0.35">
      <c r="A1" s="124"/>
      <c r="B1" s="124"/>
      <c r="C1" s="125"/>
      <c r="D1" s="126"/>
      <c r="E1" s="124"/>
      <c r="F1" s="127"/>
      <c r="G1" s="124"/>
      <c r="H1" s="124"/>
      <c r="I1" s="124"/>
      <c r="J1" s="124"/>
      <c r="K1" s="124"/>
      <c r="L1" s="124"/>
      <c r="M1" s="124"/>
      <c r="N1" s="124"/>
      <c r="O1" s="124"/>
    </row>
    <row r="2" spans="1:15" ht="23" x14ac:dyDescent="0.35">
      <c r="A2" s="128" t="str">
        <f>'Title Sheet'!B2</f>
        <v>Benefit-Cost Analysis Spreadsheet for the Englewood Line</v>
      </c>
      <c r="B2" s="124"/>
      <c r="C2" s="125"/>
      <c r="D2" s="126"/>
      <c r="E2" s="124"/>
      <c r="F2" s="127"/>
      <c r="G2" s="124"/>
      <c r="H2" s="124"/>
      <c r="I2" s="124"/>
      <c r="J2" s="124"/>
      <c r="K2" s="124"/>
      <c r="L2" s="124"/>
      <c r="M2" s="124"/>
      <c r="N2" s="124"/>
      <c r="O2" s="124"/>
    </row>
    <row r="3" spans="1:15" x14ac:dyDescent="0.35">
      <c r="A3" s="129"/>
      <c r="B3" s="129"/>
      <c r="C3" s="130"/>
      <c r="D3" s="131"/>
      <c r="E3" s="129"/>
      <c r="F3" s="132"/>
      <c r="G3" s="124"/>
      <c r="H3" s="124"/>
      <c r="I3" s="124"/>
      <c r="J3" s="124"/>
      <c r="K3" s="124"/>
      <c r="L3" s="124"/>
      <c r="M3" s="124"/>
      <c r="N3" s="124"/>
      <c r="O3" s="124"/>
    </row>
    <row r="4" spans="1:15" s="138" customFormat="1" x14ac:dyDescent="0.35">
      <c r="A4" s="133" t="s">
        <v>89</v>
      </c>
      <c r="B4" s="134"/>
      <c r="C4" s="135"/>
      <c r="D4" s="136" t="s">
        <v>90</v>
      </c>
      <c r="E4" s="137" t="s">
        <v>91</v>
      </c>
      <c r="F4" s="137" t="s">
        <v>92</v>
      </c>
    </row>
    <row r="5" spans="1:15" s="138" customFormat="1" ht="62.25" customHeight="1" x14ac:dyDescent="0.35">
      <c r="A5" s="139" t="s">
        <v>93</v>
      </c>
      <c r="B5" s="139"/>
      <c r="C5" s="140">
        <v>7.0000000000000007E-2</v>
      </c>
      <c r="D5" s="141"/>
      <c r="E5" s="142" t="s">
        <v>119</v>
      </c>
      <c r="F5" s="143" t="s">
        <v>94</v>
      </c>
    </row>
    <row r="6" spans="1:15" s="138" customFormat="1" x14ac:dyDescent="0.35">
      <c r="A6" s="133" t="s">
        <v>95</v>
      </c>
      <c r="B6" s="133"/>
      <c r="C6" s="136" t="s">
        <v>96</v>
      </c>
      <c r="D6" s="136" t="s">
        <v>90</v>
      </c>
      <c r="E6" s="137" t="s">
        <v>91</v>
      </c>
      <c r="F6" s="137" t="s">
        <v>97</v>
      </c>
    </row>
    <row r="7" spans="1:15" s="138" customFormat="1" ht="29" x14ac:dyDescent="0.35">
      <c r="A7" s="142" t="s">
        <v>98</v>
      </c>
      <c r="B7" s="142"/>
      <c r="C7" s="144">
        <v>11600000</v>
      </c>
      <c r="D7" s="145" t="s">
        <v>99</v>
      </c>
      <c r="E7" s="142" t="s">
        <v>100</v>
      </c>
      <c r="F7" s="142" t="s">
        <v>94</v>
      </c>
    </row>
    <row r="8" spans="1:15" s="138" customFormat="1" ht="29" x14ac:dyDescent="0.35">
      <c r="A8" s="142" t="s">
        <v>120</v>
      </c>
      <c r="B8" s="142"/>
      <c r="C8" s="144">
        <v>210300</v>
      </c>
      <c r="D8" s="145" t="s">
        <v>101</v>
      </c>
      <c r="E8" s="142" t="s">
        <v>100</v>
      </c>
      <c r="F8" s="142" t="s">
        <v>94</v>
      </c>
    </row>
    <row r="9" spans="1:15" s="138" customFormat="1" x14ac:dyDescent="0.35">
      <c r="A9" s="133" t="s">
        <v>121</v>
      </c>
      <c r="B9" s="133"/>
      <c r="C9" s="136" t="s">
        <v>96</v>
      </c>
      <c r="D9" s="136" t="s">
        <v>90</v>
      </c>
      <c r="E9" s="137" t="s">
        <v>91</v>
      </c>
      <c r="F9" s="137" t="s">
        <v>97</v>
      </c>
    </row>
    <row r="10" spans="1:15" s="170" customFormat="1" ht="43.5" x14ac:dyDescent="0.35">
      <c r="A10" s="164" t="s">
        <v>124</v>
      </c>
      <c r="B10" s="165" t="s">
        <v>105</v>
      </c>
      <c r="C10" s="171">
        <v>0.53</v>
      </c>
      <c r="D10" s="149" t="s">
        <v>123</v>
      </c>
      <c r="E10" s="167" t="s">
        <v>122</v>
      </c>
      <c r="F10" s="168" t="s">
        <v>125</v>
      </c>
      <c r="G10" s="24"/>
      <c r="H10" s="24"/>
      <c r="I10" s="24"/>
      <c r="J10" s="24"/>
      <c r="K10" s="169"/>
    </row>
    <row r="11" spans="1:15" s="138" customFormat="1" x14ac:dyDescent="0.35">
      <c r="A11" s="133" t="s">
        <v>102</v>
      </c>
      <c r="B11" s="133" t="s">
        <v>103</v>
      </c>
      <c r="C11" s="136" t="s">
        <v>96</v>
      </c>
      <c r="D11" s="136" t="s">
        <v>90</v>
      </c>
      <c r="E11" s="137" t="s">
        <v>91</v>
      </c>
      <c r="F11" s="137" t="s">
        <v>97</v>
      </c>
    </row>
    <row r="12" spans="1:15" s="170" customFormat="1" ht="43.5" x14ac:dyDescent="0.35">
      <c r="A12" s="164" t="s">
        <v>104</v>
      </c>
      <c r="B12" s="165" t="s">
        <v>105</v>
      </c>
      <c r="C12" s="166">
        <v>3.3999999999999998E-3</v>
      </c>
      <c r="D12" s="149" t="s">
        <v>106</v>
      </c>
      <c r="E12" s="167" t="s">
        <v>107</v>
      </c>
      <c r="F12" s="168" t="s">
        <v>94</v>
      </c>
      <c r="G12" s="24"/>
      <c r="H12" s="24"/>
      <c r="I12" s="24"/>
      <c r="J12" s="24"/>
      <c r="K12" s="169"/>
    </row>
    <row r="13" spans="1:15" s="138" customFormat="1" x14ac:dyDescent="0.35">
      <c r="A13" s="133" t="s">
        <v>55</v>
      </c>
      <c r="B13" s="133"/>
      <c r="C13" s="136" t="s">
        <v>96</v>
      </c>
      <c r="D13" s="136" t="s">
        <v>90</v>
      </c>
      <c r="E13" s="137" t="s">
        <v>91</v>
      </c>
      <c r="F13" s="137" t="s">
        <v>97</v>
      </c>
    </row>
    <row r="14" spans="1:15" s="138" customFormat="1" ht="29" x14ac:dyDescent="0.3">
      <c r="A14" s="142" t="s">
        <v>126</v>
      </c>
      <c r="B14" s="172"/>
      <c r="C14" s="146" t="s">
        <v>127</v>
      </c>
      <c r="D14" s="146" t="s">
        <v>106</v>
      </c>
      <c r="E14" s="142" t="s">
        <v>168</v>
      </c>
      <c r="F14" s="234" t="s">
        <v>128</v>
      </c>
      <c r="G14" s="147"/>
      <c r="H14" s="147"/>
      <c r="I14" s="147"/>
      <c r="J14" s="147"/>
      <c r="K14" s="148"/>
    </row>
    <row r="15" spans="1:15" x14ac:dyDescent="0.35">
      <c r="A15" s="124"/>
      <c r="B15" s="124"/>
      <c r="C15" s="125"/>
      <c r="D15" s="126"/>
      <c r="E15" s="124"/>
      <c r="F15" s="127"/>
    </row>
    <row r="16" spans="1:15" x14ac:dyDescent="0.35">
      <c r="A16" s="124"/>
      <c r="B16" s="124"/>
      <c r="C16" s="125"/>
      <c r="D16" s="126"/>
      <c r="E16" s="124"/>
      <c r="F16" s="127"/>
    </row>
    <row r="17" spans="1:6" x14ac:dyDescent="0.35">
      <c r="A17" s="124"/>
      <c r="B17" s="124"/>
      <c r="C17" s="125"/>
      <c r="D17" s="126"/>
      <c r="E17" s="124"/>
      <c r="F17" s="127"/>
    </row>
    <row r="18" spans="1:6" x14ac:dyDescent="0.35">
      <c r="A18" s="124"/>
      <c r="B18" s="124"/>
      <c r="C18" s="125"/>
      <c r="D18" s="126"/>
      <c r="E18" s="124"/>
      <c r="F18" s="127"/>
    </row>
    <row r="19" spans="1:6" x14ac:dyDescent="0.35">
      <c r="A19" s="124"/>
      <c r="B19" s="124"/>
      <c r="C19" s="125"/>
      <c r="D19" s="126"/>
      <c r="E19" s="124"/>
      <c r="F19" s="127"/>
    </row>
    <row r="20" spans="1:6" x14ac:dyDescent="0.35">
      <c r="A20" s="124"/>
      <c r="B20" s="124"/>
      <c r="C20" s="125"/>
      <c r="D20" s="126"/>
      <c r="E20" s="124"/>
      <c r="F20" s="127"/>
    </row>
    <row r="21" spans="1:6" x14ac:dyDescent="0.35">
      <c r="A21" s="124"/>
      <c r="B21" s="124"/>
      <c r="C21" s="125"/>
      <c r="D21" s="126"/>
      <c r="E21" s="124"/>
      <c r="F21" s="127"/>
    </row>
    <row r="22" spans="1:6" x14ac:dyDescent="0.35">
      <c r="A22" s="124"/>
      <c r="B22" s="124"/>
      <c r="C22" s="125"/>
      <c r="D22" s="126"/>
      <c r="E22" s="124"/>
      <c r="F22" s="127"/>
    </row>
    <row r="23" spans="1:6" x14ac:dyDescent="0.35">
      <c r="A23" s="124"/>
      <c r="B23" s="124"/>
      <c r="C23" s="125"/>
      <c r="D23" s="126"/>
      <c r="E23" s="124"/>
      <c r="F23" s="127"/>
    </row>
    <row r="24" spans="1:6" x14ac:dyDescent="0.35">
      <c r="A24" s="124"/>
      <c r="B24" s="124"/>
      <c r="C24" s="125"/>
      <c r="D24" s="126"/>
      <c r="E24" s="124"/>
      <c r="F24" s="127"/>
    </row>
    <row r="25" spans="1:6" x14ac:dyDescent="0.35">
      <c r="A25" s="124"/>
      <c r="B25" s="124"/>
      <c r="C25" s="125"/>
      <c r="D25" s="126"/>
      <c r="E25" s="124"/>
      <c r="F25" s="127"/>
    </row>
    <row r="26" spans="1:6" x14ac:dyDescent="0.35">
      <c r="A26" s="124"/>
      <c r="B26" s="124"/>
      <c r="C26" s="125"/>
      <c r="D26" s="126"/>
      <c r="E26" s="124"/>
      <c r="F26" s="127"/>
    </row>
    <row r="27" spans="1:6" x14ac:dyDescent="0.35">
      <c r="A27" s="124"/>
      <c r="B27" s="124"/>
      <c r="C27" s="125"/>
      <c r="D27" s="126"/>
      <c r="E27" s="124"/>
      <c r="F27" s="127"/>
    </row>
    <row r="28" spans="1:6" x14ac:dyDescent="0.35">
      <c r="A28" s="124"/>
      <c r="B28" s="124"/>
      <c r="C28" s="125"/>
      <c r="D28" s="126"/>
      <c r="E28" s="124"/>
      <c r="F28" s="127"/>
    </row>
    <row r="29" spans="1:6" x14ac:dyDescent="0.35">
      <c r="A29" s="124"/>
      <c r="B29" s="124"/>
      <c r="C29" s="125"/>
      <c r="D29" s="126"/>
      <c r="E29" s="124"/>
      <c r="F29" s="127"/>
    </row>
    <row r="30" spans="1:6" x14ac:dyDescent="0.35">
      <c r="A30" s="124"/>
      <c r="B30" s="124"/>
      <c r="C30" s="125"/>
      <c r="D30" s="126"/>
      <c r="E30" s="124"/>
      <c r="F30" s="127"/>
    </row>
    <row r="31" spans="1:6" x14ac:dyDescent="0.35">
      <c r="A31" s="124"/>
      <c r="B31" s="124"/>
      <c r="C31" s="125"/>
      <c r="D31" s="126"/>
      <c r="E31" s="124"/>
      <c r="F31" s="127"/>
    </row>
    <row r="32" spans="1:6" x14ac:dyDescent="0.35">
      <c r="A32" s="124"/>
      <c r="B32" s="124"/>
      <c r="C32" s="125"/>
      <c r="D32" s="126"/>
      <c r="E32" s="124"/>
      <c r="F32" s="127"/>
    </row>
    <row r="33" spans="1:6" x14ac:dyDescent="0.35">
      <c r="A33" s="124"/>
      <c r="B33" s="124"/>
      <c r="C33" s="125"/>
      <c r="D33" s="126"/>
      <c r="E33" s="124"/>
      <c r="F33" s="127"/>
    </row>
  </sheetData>
  <hyperlinks>
    <hyperlink ref="F7:F8" r:id="rId1" display="https://www.transportation.gov/sites/dot.gov/files/2022-03/Benefit%20Cost%20Analysis%20Guidance%202022%20Update.pdf" xr:uid="{9189891C-651B-40FA-BC51-CAA612C811EA}"/>
    <hyperlink ref="F12" r:id="rId2" xr:uid="{F2C50EC7-F5A2-472F-8FBA-77890991487D}"/>
    <hyperlink ref="F5" r:id="rId3" xr:uid="{3370A778-5AF6-42E7-A941-FB2A2495108D}"/>
    <hyperlink ref="F8" r:id="rId4" xr:uid="{9948354C-36D3-4450-A1D1-15C05C9A01E0}"/>
    <hyperlink ref="F14" r:id="rId5" xr:uid="{EEAF5B4D-8AAA-4633-9DA8-BB1F1F9F3781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74FDE-F41D-4861-86D8-943274CA41AC}">
  <sheetPr>
    <tabColor theme="8" tint="0.59999389629810485"/>
  </sheetPr>
  <dimension ref="A1:H75"/>
  <sheetViews>
    <sheetView workbookViewId="0">
      <selection activeCell="D33" sqref="D33"/>
    </sheetView>
  </sheetViews>
  <sheetFormatPr defaultRowHeight="14.5" x14ac:dyDescent="0.35"/>
  <cols>
    <col min="1" max="1" width="9.08984375" style="189"/>
    <col min="2" max="2" width="16.08984375" bestFit="1" customWidth="1"/>
    <col min="3" max="3" width="16.54296875" customWidth="1"/>
    <col min="4" max="4" width="15.08984375" customWidth="1"/>
    <col min="5" max="5" width="21" bestFit="1" customWidth="1"/>
    <col min="6" max="6" width="17.08984375" bestFit="1" customWidth="1"/>
    <col min="7" max="7" width="15.453125" customWidth="1"/>
    <col min="8" max="8" width="18" bestFit="1" customWidth="1"/>
  </cols>
  <sheetData>
    <row r="1" spans="1:8" ht="23" x14ac:dyDescent="0.35">
      <c r="A1" s="128" t="str">
        <f>'Title Sheet'!B2</f>
        <v>Benefit-Cost Analysis Spreadsheet for the Englewood Line</v>
      </c>
    </row>
    <row r="2" spans="1:8" s="1" customFormat="1" ht="45" customHeight="1" x14ac:dyDescent="0.35">
      <c r="A2" s="268" t="s">
        <v>26</v>
      </c>
      <c r="B2" s="247" t="s">
        <v>149</v>
      </c>
      <c r="C2" s="248"/>
      <c r="D2" s="203" t="s">
        <v>2</v>
      </c>
      <c r="E2" s="203" t="s">
        <v>3</v>
      </c>
      <c r="F2" s="204" t="s">
        <v>55</v>
      </c>
      <c r="G2" s="191" t="s">
        <v>0</v>
      </c>
      <c r="H2" s="192" t="s">
        <v>1</v>
      </c>
    </row>
    <row r="3" spans="1:8" ht="83.25" customHeight="1" x14ac:dyDescent="0.35">
      <c r="A3" s="268"/>
      <c r="B3" s="190" t="s">
        <v>150</v>
      </c>
      <c r="C3" s="193" t="s">
        <v>151</v>
      </c>
      <c r="D3" s="193" t="s">
        <v>154</v>
      </c>
      <c r="E3" s="193" t="s">
        <v>155</v>
      </c>
      <c r="F3" s="193" t="s">
        <v>155</v>
      </c>
      <c r="G3" s="194" t="s">
        <v>152</v>
      </c>
      <c r="H3" s="195" t="s">
        <v>153</v>
      </c>
    </row>
    <row r="4" spans="1:8" x14ac:dyDescent="0.35">
      <c r="A4" s="190">
        <v>2022</v>
      </c>
      <c r="B4" s="202">
        <v>5775000</v>
      </c>
      <c r="C4" s="205">
        <v>0</v>
      </c>
      <c r="D4" s="205">
        <v>0</v>
      </c>
      <c r="E4" s="205">
        <v>0</v>
      </c>
      <c r="F4" s="205">
        <v>0</v>
      </c>
      <c r="G4" s="208">
        <f>SUM(B4)</f>
        <v>5775000</v>
      </c>
      <c r="H4" s="221">
        <f>SUM(C4:F4)</f>
        <v>0</v>
      </c>
    </row>
    <row r="5" spans="1:8" x14ac:dyDescent="0.35">
      <c r="A5" s="190">
        <v>2023</v>
      </c>
      <c r="B5" s="201">
        <v>0</v>
      </c>
      <c r="C5" s="205">
        <v>0</v>
      </c>
      <c r="D5" s="205">
        <v>0</v>
      </c>
      <c r="E5" s="205">
        <v>0</v>
      </c>
      <c r="F5" s="205">
        <v>0</v>
      </c>
      <c r="G5" s="208">
        <f t="shared" ref="G5:G28" si="0">SUM(B5)</f>
        <v>0</v>
      </c>
      <c r="H5" s="221">
        <f t="shared" ref="H5:H27" si="1">SUM(C5:F5)</f>
        <v>0</v>
      </c>
    </row>
    <row r="6" spans="1:8" x14ac:dyDescent="0.35">
      <c r="A6" s="190">
        <v>2024</v>
      </c>
      <c r="B6" s="201">
        <v>0</v>
      </c>
      <c r="C6" s="205">
        <v>0</v>
      </c>
      <c r="D6" s="205">
        <v>0</v>
      </c>
      <c r="E6" s="205">
        <v>0</v>
      </c>
      <c r="F6" s="205">
        <v>0</v>
      </c>
      <c r="G6" s="208">
        <f t="shared" si="0"/>
        <v>0</v>
      </c>
      <c r="H6" s="221">
        <f t="shared" si="1"/>
        <v>0</v>
      </c>
    </row>
    <row r="7" spans="1:8" x14ac:dyDescent="0.35">
      <c r="A7" s="190">
        <v>2025</v>
      </c>
      <c r="B7" s="201">
        <v>0</v>
      </c>
      <c r="C7" s="205">
        <v>0</v>
      </c>
      <c r="D7" s="205">
        <v>0</v>
      </c>
      <c r="E7" s="205">
        <v>0</v>
      </c>
      <c r="F7" s="205">
        <v>0</v>
      </c>
      <c r="G7" s="208">
        <f t="shared" si="0"/>
        <v>0</v>
      </c>
      <c r="H7" s="221">
        <f t="shared" si="1"/>
        <v>0</v>
      </c>
    </row>
    <row r="8" spans="1:8" x14ac:dyDescent="0.35">
      <c r="A8" s="190">
        <v>2026</v>
      </c>
      <c r="B8" s="202">
        <v>62461853.825856902</v>
      </c>
      <c r="C8" s="205">
        <v>0</v>
      </c>
      <c r="D8" s="205">
        <v>0</v>
      </c>
      <c r="E8" s="205">
        <v>0</v>
      </c>
      <c r="F8" s="205">
        <v>0</v>
      </c>
      <c r="G8" s="208">
        <f t="shared" si="0"/>
        <v>62461853.825856902</v>
      </c>
      <c r="H8" s="221">
        <f t="shared" si="1"/>
        <v>0</v>
      </c>
    </row>
    <row r="9" spans="1:8" x14ac:dyDescent="0.35">
      <c r="A9" s="199">
        <v>2027</v>
      </c>
      <c r="B9" s="206">
        <v>0</v>
      </c>
      <c r="C9" s="178" cm="1">
        <f t="array" ref="C9:C28">-('O&amp;M Costs'!C6:C25)</f>
        <v>-1000000</v>
      </c>
      <c r="D9" s="178" cm="1">
        <f t="array" ref="D9:D28">'Traffic Safety Benefits'!K23:K42</f>
        <v>3505269.4</v>
      </c>
      <c r="E9" s="183">
        <f>'Property Value Benefits'!C15</f>
        <v>441976.144852</v>
      </c>
      <c r="F9" s="216">
        <f>'Remediation Benefits'!C16</f>
        <v>62755813.699425004</v>
      </c>
      <c r="G9" s="208">
        <f t="shared" si="0"/>
        <v>0</v>
      </c>
      <c r="H9" s="221">
        <f t="shared" si="1"/>
        <v>65703059.244277</v>
      </c>
    </row>
    <row r="10" spans="1:8" x14ac:dyDescent="0.35">
      <c r="A10" s="199">
        <v>2028</v>
      </c>
      <c r="B10" s="200">
        <v>0</v>
      </c>
      <c r="C10" s="178">
        <v>-1000000</v>
      </c>
      <c r="D10" s="178">
        <v>3505269.4</v>
      </c>
      <c r="E10" s="207">
        <v>0</v>
      </c>
      <c r="F10" s="205">
        <v>0</v>
      </c>
      <c r="G10" s="208">
        <f t="shared" si="0"/>
        <v>0</v>
      </c>
      <c r="H10" s="221">
        <f t="shared" si="1"/>
        <v>2505269.4</v>
      </c>
    </row>
    <row r="11" spans="1:8" x14ac:dyDescent="0.35">
      <c r="A11" s="199">
        <v>2029</v>
      </c>
      <c r="B11" s="200">
        <v>0</v>
      </c>
      <c r="C11" s="178">
        <v>-1000000</v>
      </c>
      <c r="D11" s="178">
        <v>3505269.4</v>
      </c>
      <c r="E11" s="207">
        <v>0</v>
      </c>
      <c r="F11" s="205">
        <v>0</v>
      </c>
      <c r="G11" s="208">
        <f t="shared" si="0"/>
        <v>0</v>
      </c>
      <c r="H11" s="221">
        <f t="shared" si="1"/>
        <v>2505269.4</v>
      </c>
    </row>
    <row r="12" spans="1:8" x14ac:dyDescent="0.35">
      <c r="A12" s="199">
        <v>2030</v>
      </c>
      <c r="B12" s="200">
        <v>0</v>
      </c>
      <c r="C12" s="178">
        <v>-1000000</v>
      </c>
      <c r="D12" s="178">
        <v>3505269.4</v>
      </c>
      <c r="E12" s="207">
        <v>0</v>
      </c>
      <c r="F12" s="205">
        <v>0</v>
      </c>
      <c r="G12" s="208">
        <f t="shared" si="0"/>
        <v>0</v>
      </c>
      <c r="H12" s="221">
        <f t="shared" si="1"/>
        <v>2505269.4</v>
      </c>
    </row>
    <row r="13" spans="1:8" x14ac:dyDescent="0.35">
      <c r="A13" s="199">
        <v>2031</v>
      </c>
      <c r="B13" s="200">
        <v>0</v>
      </c>
      <c r="C13" s="178">
        <v>-1000000</v>
      </c>
      <c r="D13" s="178">
        <v>3505269.4</v>
      </c>
      <c r="E13" s="207">
        <v>0</v>
      </c>
      <c r="F13" s="205">
        <v>0</v>
      </c>
      <c r="G13" s="208">
        <f t="shared" si="0"/>
        <v>0</v>
      </c>
      <c r="H13" s="221">
        <f t="shared" si="1"/>
        <v>2505269.4</v>
      </c>
    </row>
    <row r="14" spans="1:8" x14ac:dyDescent="0.35">
      <c r="A14" s="199">
        <v>2032</v>
      </c>
      <c r="B14" s="200">
        <v>0</v>
      </c>
      <c r="C14" s="178">
        <v>-1000000</v>
      </c>
      <c r="D14" s="178">
        <v>3505269.4</v>
      </c>
      <c r="E14" s="207">
        <v>0</v>
      </c>
      <c r="F14" s="205">
        <v>0</v>
      </c>
      <c r="G14" s="208">
        <f t="shared" si="0"/>
        <v>0</v>
      </c>
      <c r="H14" s="221">
        <f t="shared" si="1"/>
        <v>2505269.4</v>
      </c>
    </row>
    <row r="15" spans="1:8" x14ac:dyDescent="0.35">
      <c r="A15" s="199">
        <v>2033</v>
      </c>
      <c r="B15" s="200">
        <v>0</v>
      </c>
      <c r="C15" s="178">
        <v>-1000000</v>
      </c>
      <c r="D15" s="197">
        <v>3505269.4</v>
      </c>
      <c r="E15" s="207">
        <v>0</v>
      </c>
      <c r="F15" s="205">
        <v>0</v>
      </c>
      <c r="G15" s="208">
        <f t="shared" si="0"/>
        <v>0</v>
      </c>
      <c r="H15" s="221">
        <f t="shared" si="1"/>
        <v>2505269.4</v>
      </c>
    </row>
    <row r="16" spans="1:8" x14ac:dyDescent="0.35">
      <c r="A16" s="199">
        <v>2034</v>
      </c>
      <c r="B16" s="200">
        <v>0</v>
      </c>
      <c r="C16" s="178">
        <v>-1000000</v>
      </c>
      <c r="D16" s="197">
        <v>3505269.4</v>
      </c>
      <c r="E16" s="207">
        <v>0</v>
      </c>
      <c r="F16" s="205">
        <v>0</v>
      </c>
      <c r="G16" s="208">
        <f t="shared" si="0"/>
        <v>0</v>
      </c>
      <c r="H16" s="221">
        <f t="shared" si="1"/>
        <v>2505269.4</v>
      </c>
    </row>
    <row r="17" spans="1:8" x14ac:dyDescent="0.35">
      <c r="A17" s="199">
        <v>2035</v>
      </c>
      <c r="B17" s="200">
        <v>0</v>
      </c>
      <c r="C17" s="178">
        <v>-1000000</v>
      </c>
      <c r="D17" s="197">
        <v>3505269.4</v>
      </c>
      <c r="E17" s="207">
        <v>0</v>
      </c>
      <c r="F17" s="205">
        <v>0</v>
      </c>
      <c r="G17" s="208">
        <f t="shared" si="0"/>
        <v>0</v>
      </c>
      <c r="H17" s="221">
        <f t="shared" si="1"/>
        <v>2505269.4</v>
      </c>
    </row>
    <row r="18" spans="1:8" x14ac:dyDescent="0.35">
      <c r="A18" s="199">
        <v>2036</v>
      </c>
      <c r="B18" s="200">
        <v>0</v>
      </c>
      <c r="C18" s="178">
        <v>-1000000</v>
      </c>
      <c r="D18" s="197">
        <v>3505269.4</v>
      </c>
      <c r="E18" s="207">
        <v>0</v>
      </c>
      <c r="F18" s="205">
        <v>0</v>
      </c>
      <c r="G18" s="208">
        <f t="shared" si="0"/>
        <v>0</v>
      </c>
      <c r="H18" s="221">
        <f t="shared" si="1"/>
        <v>2505269.4</v>
      </c>
    </row>
    <row r="19" spans="1:8" x14ac:dyDescent="0.35">
      <c r="A19" s="199">
        <v>2037</v>
      </c>
      <c r="B19" s="200">
        <v>0</v>
      </c>
      <c r="C19" s="178">
        <v>-1000000</v>
      </c>
      <c r="D19" s="197">
        <v>3505269.4</v>
      </c>
      <c r="E19" s="207">
        <v>0</v>
      </c>
      <c r="F19" s="205">
        <v>0</v>
      </c>
      <c r="G19" s="208">
        <f t="shared" si="0"/>
        <v>0</v>
      </c>
      <c r="H19" s="221">
        <f t="shared" si="1"/>
        <v>2505269.4</v>
      </c>
    </row>
    <row r="20" spans="1:8" x14ac:dyDescent="0.35">
      <c r="A20" s="199">
        <v>2038</v>
      </c>
      <c r="B20" s="200">
        <v>0</v>
      </c>
      <c r="C20" s="178">
        <v>-1000000</v>
      </c>
      <c r="D20" s="197">
        <v>3505269.4</v>
      </c>
      <c r="E20" s="207">
        <v>0</v>
      </c>
      <c r="F20" s="205">
        <v>0</v>
      </c>
      <c r="G20" s="208">
        <f t="shared" si="0"/>
        <v>0</v>
      </c>
      <c r="H20" s="221">
        <f t="shared" si="1"/>
        <v>2505269.4</v>
      </c>
    </row>
    <row r="21" spans="1:8" x14ac:dyDescent="0.35">
      <c r="A21" s="199">
        <v>2039</v>
      </c>
      <c r="B21" s="200">
        <v>0</v>
      </c>
      <c r="C21" s="178">
        <v>-1000000</v>
      </c>
      <c r="D21" s="197">
        <v>3505269.4</v>
      </c>
      <c r="E21" s="207">
        <v>0</v>
      </c>
      <c r="F21" s="205">
        <v>0</v>
      </c>
      <c r="G21" s="208">
        <f t="shared" si="0"/>
        <v>0</v>
      </c>
      <c r="H21" s="221">
        <f t="shared" si="1"/>
        <v>2505269.4</v>
      </c>
    </row>
    <row r="22" spans="1:8" x14ac:dyDescent="0.35">
      <c r="A22" s="199">
        <v>2040</v>
      </c>
      <c r="B22" s="200">
        <v>0</v>
      </c>
      <c r="C22" s="178">
        <v>-1000000</v>
      </c>
      <c r="D22" s="197">
        <v>3505269.4</v>
      </c>
      <c r="E22" s="207">
        <v>0</v>
      </c>
      <c r="F22" s="205">
        <v>0</v>
      </c>
      <c r="G22" s="208">
        <f t="shared" si="0"/>
        <v>0</v>
      </c>
      <c r="H22" s="221">
        <f t="shared" si="1"/>
        <v>2505269.4</v>
      </c>
    </row>
    <row r="23" spans="1:8" x14ac:dyDescent="0.35">
      <c r="A23" s="199">
        <v>2041</v>
      </c>
      <c r="B23" s="200">
        <v>0</v>
      </c>
      <c r="C23" s="178">
        <v>-1000000</v>
      </c>
      <c r="D23" s="197">
        <v>3505269.4</v>
      </c>
      <c r="E23" s="207">
        <v>0</v>
      </c>
      <c r="F23" s="205">
        <v>0</v>
      </c>
      <c r="G23" s="208">
        <f t="shared" si="0"/>
        <v>0</v>
      </c>
      <c r="H23" s="221">
        <f t="shared" si="1"/>
        <v>2505269.4</v>
      </c>
    </row>
    <row r="24" spans="1:8" x14ac:dyDescent="0.35">
      <c r="A24" s="199">
        <v>2042</v>
      </c>
      <c r="B24" s="200">
        <v>0</v>
      </c>
      <c r="C24" s="178">
        <v>-1000000</v>
      </c>
      <c r="D24" s="197">
        <v>3505269.4</v>
      </c>
      <c r="E24" s="207">
        <v>0</v>
      </c>
      <c r="F24" s="205">
        <v>0</v>
      </c>
      <c r="G24" s="208">
        <f t="shared" si="0"/>
        <v>0</v>
      </c>
      <c r="H24" s="221">
        <f t="shared" si="1"/>
        <v>2505269.4</v>
      </c>
    </row>
    <row r="25" spans="1:8" x14ac:dyDescent="0.35">
      <c r="A25" s="199">
        <v>2043</v>
      </c>
      <c r="B25" s="200">
        <v>0</v>
      </c>
      <c r="C25" s="178">
        <v>-1000000</v>
      </c>
      <c r="D25" s="197">
        <v>3505269.4</v>
      </c>
      <c r="E25" s="207">
        <v>0</v>
      </c>
      <c r="F25" s="205">
        <v>0</v>
      </c>
      <c r="G25" s="208">
        <f t="shared" si="0"/>
        <v>0</v>
      </c>
      <c r="H25" s="221">
        <f t="shared" si="1"/>
        <v>2505269.4</v>
      </c>
    </row>
    <row r="26" spans="1:8" x14ac:dyDescent="0.35">
      <c r="A26" s="199">
        <v>2044</v>
      </c>
      <c r="B26" s="200">
        <v>0</v>
      </c>
      <c r="C26" s="178">
        <v>-1000000</v>
      </c>
      <c r="D26" s="197">
        <v>3505269.4</v>
      </c>
      <c r="E26" s="207">
        <v>0</v>
      </c>
      <c r="F26" s="205">
        <v>0</v>
      </c>
      <c r="G26" s="208">
        <f t="shared" si="0"/>
        <v>0</v>
      </c>
      <c r="H26" s="221">
        <f t="shared" si="1"/>
        <v>2505269.4</v>
      </c>
    </row>
    <row r="27" spans="1:8" x14ac:dyDescent="0.35">
      <c r="A27" s="199">
        <v>2045</v>
      </c>
      <c r="B27" s="200">
        <v>0</v>
      </c>
      <c r="C27" s="178">
        <v>-1000000</v>
      </c>
      <c r="D27" s="197">
        <v>3505269.4</v>
      </c>
      <c r="E27" s="207">
        <v>0</v>
      </c>
      <c r="F27" s="205">
        <v>0</v>
      </c>
      <c r="G27" s="208">
        <f t="shared" si="0"/>
        <v>0</v>
      </c>
      <c r="H27" s="221">
        <f t="shared" si="1"/>
        <v>2505269.4</v>
      </c>
    </row>
    <row r="28" spans="1:8" x14ac:dyDescent="0.35">
      <c r="A28" s="199">
        <v>2046</v>
      </c>
      <c r="B28" s="200">
        <v>0</v>
      </c>
      <c r="C28" s="178">
        <v>-1000000</v>
      </c>
      <c r="D28" s="197">
        <v>3505269.4</v>
      </c>
      <c r="E28" s="207">
        <v>0</v>
      </c>
      <c r="F28" s="205">
        <v>0</v>
      </c>
      <c r="G28" s="208">
        <f t="shared" si="0"/>
        <v>0</v>
      </c>
      <c r="H28" s="221">
        <f t="shared" ref="H28" si="2">SUM(D28:F28)</f>
        <v>3505269.4</v>
      </c>
    </row>
    <row r="29" spans="1:8" x14ac:dyDescent="0.35">
      <c r="B29" s="104"/>
      <c r="C29" s="104"/>
      <c r="D29" s="104"/>
      <c r="E29" s="104"/>
      <c r="F29" s="104"/>
      <c r="G29" s="104"/>
    </row>
    <row r="30" spans="1:8" x14ac:dyDescent="0.35">
      <c r="B30" s="104"/>
      <c r="C30" s="104"/>
      <c r="D30" s="104"/>
      <c r="E30" s="104"/>
      <c r="F30" s="104"/>
      <c r="G30" s="209"/>
      <c r="H30" s="210"/>
    </row>
    <row r="31" spans="1:8" x14ac:dyDescent="0.35">
      <c r="B31" s="104"/>
      <c r="C31" s="104"/>
      <c r="D31" s="104"/>
      <c r="E31" s="104"/>
      <c r="F31" s="104"/>
      <c r="G31" s="209"/>
      <c r="H31" s="211"/>
    </row>
    <row r="32" spans="1:8" x14ac:dyDescent="0.35">
      <c r="B32" s="104"/>
      <c r="C32" s="104"/>
      <c r="D32" s="104"/>
      <c r="E32" s="104"/>
      <c r="F32" s="104"/>
      <c r="G32" s="104"/>
    </row>
    <row r="33" spans="1:8" x14ac:dyDescent="0.35">
      <c r="A33" s="198" t="s">
        <v>32</v>
      </c>
      <c r="B33" s="196">
        <f t="shared" ref="B33:H33" si="3">SUM(B4:B28)</f>
        <v>68236853.825856894</v>
      </c>
      <c r="C33" s="196">
        <f t="shared" si="3"/>
        <v>-20000000</v>
      </c>
      <c r="D33" s="197">
        <f>SUM(D4:D28)</f>
        <v>70105387.999999985</v>
      </c>
      <c r="E33" s="197">
        <f t="shared" si="3"/>
        <v>441976.144852</v>
      </c>
      <c r="F33" s="197">
        <f t="shared" si="3"/>
        <v>62755813.699425004</v>
      </c>
      <c r="G33" s="212">
        <f t="shared" si="3"/>
        <v>68236853.825856894</v>
      </c>
      <c r="H33" s="213">
        <f t="shared" si="3"/>
        <v>114303177.84427711</v>
      </c>
    </row>
    <row r="35" spans="1:8" x14ac:dyDescent="0.35">
      <c r="H35" s="4"/>
    </row>
    <row r="36" spans="1:8" x14ac:dyDescent="0.35">
      <c r="C36" s="4"/>
    </row>
    <row r="40" spans="1:8" x14ac:dyDescent="0.35">
      <c r="A40"/>
    </row>
    <row r="41" spans="1:8" x14ac:dyDescent="0.35">
      <c r="A41"/>
    </row>
    <row r="42" spans="1:8" x14ac:dyDescent="0.35">
      <c r="A42"/>
    </row>
    <row r="43" spans="1:8" x14ac:dyDescent="0.35">
      <c r="A43"/>
    </row>
    <row r="44" spans="1:8" x14ac:dyDescent="0.35">
      <c r="A44"/>
    </row>
    <row r="45" spans="1:8" x14ac:dyDescent="0.35">
      <c r="A45"/>
    </row>
    <row r="46" spans="1:8" x14ac:dyDescent="0.35">
      <c r="A46"/>
    </row>
    <row r="47" spans="1:8" x14ac:dyDescent="0.35">
      <c r="A47"/>
    </row>
    <row r="48" spans="1:8" x14ac:dyDescent="0.35">
      <c r="A48"/>
    </row>
    <row r="49" spans="1:1" x14ac:dyDescent="0.35">
      <c r="A49"/>
    </row>
    <row r="50" spans="1:1" x14ac:dyDescent="0.35">
      <c r="A50"/>
    </row>
    <row r="51" spans="1:1" x14ac:dyDescent="0.35">
      <c r="A51"/>
    </row>
    <row r="52" spans="1:1" x14ac:dyDescent="0.35">
      <c r="A52"/>
    </row>
    <row r="53" spans="1:1" x14ac:dyDescent="0.35">
      <c r="A53"/>
    </row>
    <row r="54" spans="1:1" x14ac:dyDescent="0.35">
      <c r="A54"/>
    </row>
    <row r="55" spans="1:1" x14ac:dyDescent="0.35">
      <c r="A55"/>
    </row>
    <row r="56" spans="1:1" x14ac:dyDescent="0.35">
      <c r="A56"/>
    </row>
    <row r="57" spans="1:1" x14ac:dyDescent="0.35">
      <c r="A57"/>
    </row>
    <row r="58" spans="1:1" x14ac:dyDescent="0.35">
      <c r="A58"/>
    </row>
    <row r="59" spans="1:1" x14ac:dyDescent="0.35">
      <c r="A59"/>
    </row>
    <row r="60" spans="1:1" x14ac:dyDescent="0.35">
      <c r="A60"/>
    </row>
    <row r="61" spans="1:1" x14ac:dyDescent="0.35">
      <c r="A61"/>
    </row>
    <row r="62" spans="1:1" x14ac:dyDescent="0.35">
      <c r="A62"/>
    </row>
    <row r="63" spans="1:1" x14ac:dyDescent="0.35">
      <c r="A63"/>
    </row>
    <row r="64" spans="1:1" x14ac:dyDescent="0.35">
      <c r="A64"/>
    </row>
    <row r="65" spans="1:1" x14ac:dyDescent="0.35">
      <c r="A65"/>
    </row>
    <row r="66" spans="1:1" x14ac:dyDescent="0.35">
      <c r="A66"/>
    </row>
    <row r="67" spans="1:1" x14ac:dyDescent="0.35">
      <c r="A67"/>
    </row>
    <row r="68" spans="1:1" x14ac:dyDescent="0.35">
      <c r="A68"/>
    </row>
    <row r="69" spans="1:1" x14ac:dyDescent="0.35">
      <c r="A69"/>
    </row>
    <row r="70" spans="1:1" x14ac:dyDescent="0.35">
      <c r="A70"/>
    </row>
    <row r="71" spans="1:1" x14ac:dyDescent="0.35">
      <c r="A71"/>
    </row>
    <row r="72" spans="1:1" x14ac:dyDescent="0.35">
      <c r="A72"/>
    </row>
    <row r="73" spans="1:1" x14ac:dyDescent="0.35">
      <c r="A73"/>
    </row>
    <row r="74" spans="1:1" x14ac:dyDescent="0.35">
      <c r="A74"/>
    </row>
    <row r="75" spans="1:1" x14ac:dyDescent="0.35">
      <c r="A75"/>
    </row>
  </sheetData>
  <mergeCells count="1">
    <mergeCell ref="A2:A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B5D28-E218-4E0F-91C3-A440DE6931FA}">
  <sheetPr>
    <tabColor theme="8" tint="0.59999389629810485"/>
  </sheetPr>
  <dimension ref="A1:I75"/>
  <sheetViews>
    <sheetView topLeftCell="D1" workbookViewId="0">
      <selection activeCell="E33" sqref="E33"/>
    </sheetView>
  </sheetViews>
  <sheetFormatPr defaultRowHeight="14.5" x14ac:dyDescent="0.35"/>
  <cols>
    <col min="1" max="2" width="9.08984375" style="189"/>
    <col min="3" max="3" width="16.08984375" bestFit="1" customWidth="1"/>
    <col min="4" max="4" width="15.90625" bestFit="1" customWidth="1"/>
    <col min="5" max="5" width="15.08984375" customWidth="1"/>
    <col min="6" max="6" width="21" bestFit="1" customWidth="1"/>
    <col min="7" max="7" width="17.08984375" bestFit="1" customWidth="1"/>
    <col min="8" max="8" width="15.453125" customWidth="1"/>
    <col min="9" max="9" width="18" bestFit="1" customWidth="1"/>
  </cols>
  <sheetData>
    <row r="1" spans="1:9" ht="23" x14ac:dyDescent="0.35">
      <c r="A1" s="128" t="str">
        <f>'Title Sheet'!B2</f>
        <v>Benefit-Cost Analysis Spreadsheet for the Englewood Line</v>
      </c>
      <c r="B1" s="128"/>
    </row>
    <row r="2" spans="1:9" s="1" customFormat="1" ht="45" customHeight="1" x14ac:dyDescent="0.35">
      <c r="A2" s="268" t="s">
        <v>26</v>
      </c>
      <c r="B2" s="214"/>
      <c r="C2" s="247" t="s">
        <v>149</v>
      </c>
      <c r="D2" s="248"/>
      <c r="E2" s="203" t="s">
        <v>2</v>
      </c>
      <c r="F2" s="203" t="s">
        <v>3</v>
      </c>
      <c r="G2" s="204" t="s">
        <v>55</v>
      </c>
      <c r="H2" s="191" t="s">
        <v>0</v>
      </c>
      <c r="I2" s="192" t="s">
        <v>1</v>
      </c>
    </row>
    <row r="3" spans="1:9" ht="83.25" customHeight="1" x14ac:dyDescent="0.35">
      <c r="A3" s="268"/>
      <c r="B3" s="214" t="s">
        <v>156</v>
      </c>
      <c r="C3" s="190" t="s">
        <v>150</v>
      </c>
      <c r="D3" s="193" t="s">
        <v>151</v>
      </c>
      <c r="E3" s="193" t="s">
        <v>154</v>
      </c>
      <c r="F3" s="193" t="s">
        <v>155</v>
      </c>
      <c r="G3" s="193" t="s">
        <v>155</v>
      </c>
      <c r="H3" s="194" t="s">
        <v>152</v>
      </c>
      <c r="I3" s="195" t="s">
        <v>153</v>
      </c>
    </row>
    <row r="4" spans="1:9" x14ac:dyDescent="0.35">
      <c r="A4" s="190">
        <v>2022</v>
      </c>
      <c r="B4" s="215">
        <v>7.0000000000000007E-2</v>
      </c>
      <c r="C4" s="202">
        <v>5044108.6557777971</v>
      </c>
      <c r="D4" s="258">
        <v>0</v>
      </c>
      <c r="E4" s="258">
        <v>0</v>
      </c>
      <c r="F4" s="258">
        <v>0</v>
      </c>
      <c r="G4" s="258">
        <v>0</v>
      </c>
      <c r="H4" s="256">
        <f>SUM(C4)</f>
        <v>5044108.6557777971</v>
      </c>
      <c r="I4" s="257">
        <f>SUM(D4:G4)</f>
        <v>0</v>
      </c>
    </row>
    <row r="5" spans="1:9" x14ac:dyDescent="0.35">
      <c r="A5" s="190">
        <v>2023</v>
      </c>
      <c r="B5" s="215">
        <v>7.0000000000000007E-2</v>
      </c>
      <c r="C5" s="202">
        <v>0</v>
      </c>
      <c r="D5" s="258">
        <v>0</v>
      </c>
      <c r="E5" s="258">
        <v>0</v>
      </c>
      <c r="F5" s="258">
        <v>0</v>
      </c>
      <c r="G5" s="258">
        <v>0</v>
      </c>
      <c r="H5" s="256">
        <f t="shared" ref="H5:H27" si="0">SUM(C5)</f>
        <v>0</v>
      </c>
      <c r="I5" s="257">
        <f t="shared" ref="I5:I28" si="1">SUM(D5:G5)</f>
        <v>0</v>
      </c>
    </row>
    <row r="6" spans="1:9" x14ac:dyDescent="0.35">
      <c r="A6" s="190">
        <v>2024</v>
      </c>
      <c r="B6" s="215">
        <v>7.0000000000000007E-2</v>
      </c>
      <c r="C6" s="202">
        <v>0</v>
      </c>
      <c r="D6" s="258">
        <v>0</v>
      </c>
      <c r="E6" s="258">
        <v>0</v>
      </c>
      <c r="F6" s="258">
        <v>0</v>
      </c>
      <c r="G6" s="258">
        <v>0</v>
      </c>
      <c r="H6" s="256">
        <f t="shared" si="0"/>
        <v>0</v>
      </c>
      <c r="I6" s="257">
        <f t="shared" si="1"/>
        <v>0</v>
      </c>
    </row>
    <row r="7" spans="1:9" x14ac:dyDescent="0.35">
      <c r="A7" s="190">
        <v>2025</v>
      </c>
      <c r="B7" s="215">
        <v>7.0000000000000007E-2</v>
      </c>
      <c r="C7" s="202">
        <v>0</v>
      </c>
      <c r="D7" s="258">
        <v>0</v>
      </c>
      <c r="E7" s="258">
        <v>0</v>
      </c>
      <c r="F7" s="258">
        <v>0</v>
      </c>
      <c r="G7" s="258">
        <v>0</v>
      </c>
      <c r="H7" s="256">
        <f t="shared" si="0"/>
        <v>0</v>
      </c>
      <c r="I7" s="257">
        <f t="shared" si="1"/>
        <v>0</v>
      </c>
    </row>
    <row r="8" spans="1:9" x14ac:dyDescent="0.35">
      <c r="A8" s="190">
        <v>2026</v>
      </c>
      <c r="B8" s="215">
        <v>7.0000000000000007E-2</v>
      </c>
      <c r="C8" s="206">
        <f>SUM('Project Capital Costs'!J20:J24)</f>
        <v>40671818.878730729</v>
      </c>
      <c r="D8" s="258">
        <v>0</v>
      </c>
      <c r="E8" s="258">
        <v>0</v>
      </c>
      <c r="F8" s="258">
        <v>0</v>
      </c>
      <c r="G8" s="258">
        <v>0</v>
      </c>
      <c r="H8" s="256">
        <f t="shared" si="0"/>
        <v>40671818.878730729</v>
      </c>
      <c r="I8" s="257">
        <f t="shared" si="1"/>
        <v>0</v>
      </c>
    </row>
    <row r="9" spans="1:9" x14ac:dyDescent="0.35">
      <c r="A9" s="199">
        <v>2027</v>
      </c>
      <c r="B9" s="215">
        <v>7.0000000000000007E-2</v>
      </c>
      <c r="C9" s="206">
        <v>0</v>
      </c>
      <c r="D9" s="178" cm="1">
        <f t="array" ref="D9:D28">-('O&amp;M Costs'!E6:E25)</f>
        <v>-622749.74188459106</v>
      </c>
      <c r="E9" s="178" cm="1">
        <f t="array" ref="E9:E28">'Traffic Safety Benefits'!M23:M42</f>
        <v>2182905.6140859555</v>
      </c>
      <c r="F9" s="259">
        <v>275240.53012572962</v>
      </c>
      <c r="G9" s="178">
        <v>39081166.783074409</v>
      </c>
      <c r="H9" s="256">
        <f t="shared" si="0"/>
        <v>0</v>
      </c>
      <c r="I9" s="257">
        <f>SUM(D9:G9)</f>
        <v>40916563.185401499</v>
      </c>
    </row>
    <row r="10" spans="1:9" x14ac:dyDescent="0.35">
      <c r="A10" s="199">
        <v>2028</v>
      </c>
      <c r="B10" s="215">
        <v>7.0000000000000007E-2</v>
      </c>
      <c r="C10" s="206">
        <v>0</v>
      </c>
      <c r="D10" s="178">
        <v>-582009.10456503846</v>
      </c>
      <c r="E10" s="178">
        <v>2040098.7047532294</v>
      </c>
      <c r="F10" s="178">
        <v>0</v>
      </c>
      <c r="G10" s="258">
        <v>0</v>
      </c>
      <c r="H10" s="256">
        <f t="shared" si="0"/>
        <v>0</v>
      </c>
      <c r="I10" s="257">
        <f t="shared" si="1"/>
        <v>1458089.600188191</v>
      </c>
    </row>
    <row r="11" spans="1:9" x14ac:dyDescent="0.35">
      <c r="A11" s="199">
        <v>2029</v>
      </c>
      <c r="B11" s="215">
        <v>7.0000000000000007E-2</v>
      </c>
      <c r="C11" s="206">
        <v>0</v>
      </c>
      <c r="D11" s="178">
        <v>-543933.74258414796</v>
      </c>
      <c r="E11" s="178">
        <v>1906634.3035076908</v>
      </c>
      <c r="F11" s="178">
        <v>0</v>
      </c>
      <c r="G11" s="258">
        <v>0</v>
      </c>
      <c r="H11" s="256">
        <f t="shared" si="0"/>
        <v>0</v>
      </c>
      <c r="I11" s="257">
        <f t="shared" si="1"/>
        <v>1362700.5609235428</v>
      </c>
    </row>
    <row r="12" spans="1:9" x14ac:dyDescent="0.35">
      <c r="A12" s="199">
        <v>2030</v>
      </c>
      <c r="B12" s="215">
        <v>7.0000000000000007E-2</v>
      </c>
      <c r="C12" s="206">
        <v>0</v>
      </c>
      <c r="D12" s="178">
        <v>-508349.29213471781</v>
      </c>
      <c r="E12" s="178">
        <v>1781901.2182314869</v>
      </c>
      <c r="F12" s="178">
        <v>0</v>
      </c>
      <c r="G12" s="258">
        <v>0</v>
      </c>
      <c r="H12" s="256">
        <f t="shared" si="0"/>
        <v>0</v>
      </c>
      <c r="I12" s="257">
        <f t="shared" si="1"/>
        <v>1273551.926096769</v>
      </c>
    </row>
    <row r="13" spans="1:9" x14ac:dyDescent="0.35">
      <c r="A13" s="199">
        <v>2031</v>
      </c>
      <c r="B13" s="215">
        <v>7.0000000000000007E-2</v>
      </c>
      <c r="C13" s="206">
        <v>0</v>
      </c>
      <c r="D13" s="178">
        <v>-475092.79638758668</v>
      </c>
      <c r="E13" s="178">
        <v>1665328.2413378381</v>
      </c>
      <c r="F13" s="178">
        <v>0</v>
      </c>
      <c r="G13" s="258">
        <v>0</v>
      </c>
      <c r="H13" s="256">
        <f t="shared" si="0"/>
        <v>0</v>
      </c>
      <c r="I13" s="257">
        <f t="shared" si="1"/>
        <v>1190235.4449502514</v>
      </c>
    </row>
    <row r="14" spans="1:9" x14ac:dyDescent="0.35">
      <c r="A14" s="199">
        <v>2032</v>
      </c>
      <c r="B14" s="215">
        <v>7.0000000000000007E-2</v>
      </c>
      <c r="C14" s="206">
        <v>0</v>
      </c>
      <c r="D14" s="178">
        <v>-444011.95924073528</v>
      </c>
      <c r="E14" s="178">
        <v>1556381.5339605967</v>
      </c>
      <c r="F14" s="178">
        <v>0</v>
      </c>
      <c r="G14" s="258">
        <v>0</v>
      </c>
      <c r="H14" s="256">
        <f t="shared" si="0"/>
        <v>0</v>
      </c>
      <c r="I14" s="257">
        <f t="shared" si="1"/>
        <v>1112369.5747198614</v>
      </c>
    </row>
    <row r="15" spans="1:9" x14ac:dyDescent="0.35">
      <c r="A15" s="199">
        <v>2033</v>
      </c>
      <c r="B15" s="215">
        <v>7.0000000000000007E-2</v>
      </c>
      <c r="C15" s="206">
        <v>0</v>
      </c>
      <c r="D15" s="178">
        <v>-414964.4478885376</v>
      </c>
      <c r="E15" s="197">
        <v>1454562.1812715854</v>
      </c>
      <c r="F15" s="178">
        <v>0</v>
      </c>
      <c r="G15" s="258">
        <v>0</v>
      </c>
      <c r="H15" s="256">
        <f t="shared" si="0"/>
        <v>0</v>
      </c>
      <c r="I15" s="257">
        <f t="shared" si="1"/>
        <v>1039597.7333830479</v>
      </c>
    </row>
    <row r="16" spans="1:9" x14ac:dyDescent="0.35">
      <c r="A16" s="199">
        <v>2034</v>
      </c>
      <c r="B16" s="215">
        <v>7.0000000000000007E-2</v>
      </c>
      <c r="C16" s="206">
        <v>0</v>
      </c>
      <c r="D16" s="178">
        <v>-387817.24101732491</v>
      </c>
      <c r="E16" s="197">
        <v>1359403.9077304539</v>
      </c>
      <c r="F16" s="178">
        <v>0</v>
      </c>
      <c r="G16" s="258">
        <v>0</v>
      </c>
      <c r="H16" s="256">
        <f t="shared" si="0"/>
        <v>0</v>
      </c>
      <c r="I16" s="257">
        <f t="shared" si="1"/>
        <v>971586.66671312903</v>
      </c>
    </row>
    <row r="17" spans="1:9" x14ac:dyDescent="0.35">
      <c r="A17" s="199">
        <v>2035</v>
      </c>
      <c r="B17" s="215">
        <v>7.0000000000000007E-2</v>
      </c>
      <c r="C17" s="206">
        <v>0</v>
      </c>
      <c r="D17" s="178">
        <v>-362446.01964235969</v>
      </c>
      <c r="E17" s="197">
        <v>1270470.9418041622</v>
      </c>
      <c r="F17" s="178">
        <v>0</v>
      </c>
      <c r="G17" s="258">
        <v>0</v>
      </c>
      <c r="H17" s="256">
        <f t="shared" si="0"/>
        <v>0</v>
      </c>
      <c r="I17" s="257">
        <f t="shared" si="1"/>
        <v>908024.92216180253</v>
      </c>
    </row>
    <row r="18" spans="1:9" x14ac:dyDescent="0.35">
      <c r="A18" s="199">
        <v>2036</v>
      </c>
      <c r="B18" s="215">
        <v>7.0000000000000007E-2</v>
      </c>
      <c r="C18" s="206">
        <v>0</v>
      </c>
      <c r="D18" s="178">
        <v>-338734.59779659787</v>
      </c>
      <c r="E18" s="197">
        <v>1187356.0203777219</v>
      </c>
      <c r="F18" s="178">
        <v>0</v>
      </c>
      <c r="G18" s="258">
        <v>0</v>
      </c>
      <c r="H18" s="256">
        <f t="shared" si="0"/>
        <v>0</v>
      </c>
      <c r="I18" s="257">
        <f t="shared" si="1"/>
        <v>848621.422581124</v>
      </c>
    </row>
    <row r="19" spans="1:9" x14ac:dyDescent="0.35">
      <c r="A19" s="199">
        <v>2037</v>
      </c>
      <c r="B19" s="215">
        <v>7.0000000000000007E-2</v>
      </c>
      <c r="C19" s="206">
        <v>0</v>
      </c>
      <c r="D19" s="178">
        <v>-316574.39046411018</v>
      </c>
      <c r="E19" s="197">
        <v>1109678.523717497</v>
      </c>
      <c r="F19" s="178">
        <v>0</v>
      </c>
      <c r="G19" s="258">
        <v>0</v>
      </c>
      <c r="H19" s="256">
        <f t="shared" si="0"/>
        <v>0</v>
      </c>
      <c r="I19" s="257">
        <f t="shared" si="1"/>
        <v>793104.13325338683</v>
      </c>
    </row>
    <row r="20" spans="1:9" x14ac:dyDescent="0.35">
      <c r="A20" s="199">
        <v>2038</v>
      </c>
      <c r="B20" s="215">
        <v>7.0000000000000007E-2</v>
      </c>
      <c r="C20" s="206">
        <v>0</v>
      </c>
      <c r="D20" s="178">
        <v>-295863.91632159828</v>
      </c>
      <c r="E20" s="197">
        <v>1037082.732446259</v>
      </c>
      <c r="F20" s="178">
        <v>0</v>
      </c>
      <c r="G20" s="258">
        <v>0</v>
      </c>
      <c r="H20" s="256">
        <f t="shared" si="0"/>
        <v>0</v>
      </c>
      <c r="I20" s="257">
        <f t="shared" si="1"/>
        <v>741218.81612466066</v>
      </c>
    </row>
    <row r="21" spans="1:9" x14ac:dyDescent="0.35">
      <c r="A21" s="199">
        <v>2039</v>
      </c>
      <c r="B21" s="215">
        <v>7.0000000000000007E-2</v>
      </c>
      <c r="C21" s="206">
        <v>0</v>
      </c>
      <c r="D21" s="178">
        <v>-276508.33301083947</v>
      </c>
      <c r="E21" s="197">
        <v>969236.19854790554</v>
      </c>
      <c r="F21" s="178">
        <v>0</v>
      </c>
      <c r="G21" s="258">
        <v>0</v>
      </c>
      <c r="H21" s="256">
        <f t="shared" si="0"/>
        <v>0</v>
      </c>
      <c r="I21" s="257">
        <f t="shared" si="1"/>
        <v>692727.86553706601</v>
      </c>
    </row>
    <row r="22" spans="1:9" x14ac:dyDescent="0.35">
      <c r="A22" s="199">
        <v>2040</v>
      </c>
      <c r="B22" s="215">
        <v>7.0000000000000007E-2</v>
      </c>
      <c r="C22" s="206">
        <v>0</v>
      </c>
      <c r="D22" s="178">
        <v>-258419.00281386869</v>
      </c>
      <c r="E22" s="197">
        <v>905828.22294196778</v>
      </c>
      <c r="F22" s="178">
        <v>0</v>
      </c>
      <c r="G22" s="258">
        <v>0</v>
      </c>
      <c r="H22" s="256">
        <f t="shared" si="0"/>
        <v>0</v>
      </c>
      <c r="I22" s="257">
        <f t="shared" si="1"/>
        <v>647409.22012809908</v>
      </c>
    </row>
    <row r="23" spans="1:9" x14ac:dyDescent="0.35">
      <c r="A23" s="199">
        <v>2041</v>
      </c>
      <c r="B23" s="215">
        <v>7.0000000000000007E-2</v>
      </c>
      <c r="C23" s="206">
        <v>0</v>
      </c>
      <c r="D23" s="178">
        <v>-241513.08674193334</v>
      </c>
      <c r="E23" s="197">
        <v>846568.43265604461</v>
      </c>
      <c r="F23" s="178">
        <v>0</v>
      </c>
      <c r="G23" s="258">
        <v>0</v>
      </c>
      <c r="H23" s="256">
        <f t="shared" si="0"/>
        <v>0</v>
      </c>
      <c r="I23" s="257">
        <f t="shared" si="1"/>
        <v>605055.34591411124</v>
      </c>
    </row>
    <row r="24" spans="1:9" x14ac:dyDescent="0.35">
      <c r="A24" s="199">
        <v>2042</v>
      </c>
      <c r="B24" s="215">
        <v>7.0000000000000007E-2</v>
      </c>
      <c r="C24" s="206">
        <v>0</v>
      </c>
      <c r="D24" s="178">
        <v>-225713.16517937696</v>
      </c>
      <c r="E24" s="197">
        <v>791185.45108041551</v>
      </c>
      <c r="F24" s="178">
        <v>0</v>
      </c>
      <c r="G24" s="258">
        <v>0</v>
      </c>
      <c r="H24" s="256">
        <f t="shared" si="0"/>
        <v>0</v>
      </c>
      <c r="I24" s="257">
        <f t="shared" si="1"/>
        <v>565472.28590103856</v>
      </c>
    </row>
    <row r="25" spans="1:9" x14ac:dyDescent="0.35">
      <c r="A25" s="199">
        <v>2043</v>
      </c>
      <c r="B25" s="215">
        <v>7.0000000000000007E-2</v>
      </c>
      <c r="C25" s="206">
        <v>0</v>
      </c>
      <c r="D25" s="178">
        <v>-210946.88334521212</v>
      </c>
      <c r="E25" s="197">
        <v>739425.6552153416</v>
      </c>
      <c r="F25" s="178">
        <v>0</v>
      </c>
      <c r="G25" s="258">
        <v>0</v>
      </c>
      <c r="H25" s="256">
        <f t="shared" si="0"/>
        <v>0</v>
      </c>
      <c r="I25" s="257">
        <f t="shared" si="1"/>
        <v>528478.77187012951</v>
      </c>
    </row>
    <row r="26" spans="1:9" x14ac:dyDescent="0.35">
      <c r="A26" s="199">
        <v>2044</v>
      </c>
      <c r="B26" s="215">
        <v>7.0000000000000007E-2</v>
      </c>
      <c r="C26" s="206">
        <v>0</v>
      </c>
      <c r="D26" s="178">
        <v>-197146.61994879635</v>
      </c>
      <c r="E26" s="197">
        <v>691052.01421994541</v>
      </c>
      <c r="F26" s="178">
        <v>0</v>
      </c>
      <c r="G26" s="258">
        <v>0</v>
      </c>
      <c r="H26" s="256">
        <f t="shared" si="0"/>
        <v>0</v>
      </c>
      <c r="I26" s="257">
        <f t="shared" si="1"/>
        <v>493905.39427114907</v>
      </c>
    </row>
    <row r="27" spans="1:9" x14ac:dyDescent="0.35">
      <c r="A27" s="199">
        <v>2045</v>
      </c>
      <c r="B27" s="215">
        <v>7.0000000000000007E-2</v>
      </c>
      <c r="C27" s="206">
        <v>0</v>
      </c>
      <c r="D27" s="178">
        <v>-184249.17752223957</v>
      </c>
      <c r="E27" s="197">
        <v>645843.00394387415</v>
      </c>
      <c r="F27" s="178">
        <v>0</v>
      </c>
      <c r="G27" s="258">
        <v>0</v>
      </c>
      <c r="H27" s="256">
        <f t="shared" si="0"/>
        <v>0</v>
      </c>
      <c r="I27" s="257">
        <f t="shared" si="1"/>
        <v>461593.82642163459</v>
      </c>
    </row>
    <row r="28" spans="1:9" x14ac:dyDescent="0.35">
      <c r="A28" s="199">
        <v>2046</v>
      </c>
      <c r="B28" s="215">
        <v>7.0000000000000007E-2</v>
      </c>
      <c r="C28" s="206">
        <v>0</v>
      </c>
      <c r="D28" s="178">
        <v>-172195.49301143887</v>
      </c>
      <c r="E28" s="197">
        <v>603591.59247091052</v>
      </c>
      <c r="F28" s="178">
        <v>0</v>
      </c>
      <c r="G28" s="258">
        <v>0</v>
      </c>
      <c r="H28" s="256">
        <f>SUM(C28)</f>
        <v>0</v>
      </c>
      <c r="I28" s="257">
        <f t="shared" si="1"/>
        <v>431396.09945947165</v>
      </c>
    </row>
    <row r="29" spans="1:9" x14ac:dyDescent="0.35">
      <c r="C29" s="104"/>
      <c r="D29" s="104"/>
      <c r="E29" s="104"/>
      <c r="F29" s="104"/>
      <c r="G29" s="104"/>
      <c r="H29" s="104"/>
    </row>
    <row r="30" spans="1:9" x14ac:dyDescent="0.35">
      <c r="C30" s="104"/>
      <c r="D30" s="104"/>
      <c r="E30" s="104"/>
      <c r="F30" s="104"/>
      <c r="G30" s="104"/>
      <c r="H30" s="209"/>
      <c r="I30" s="210"/>
    </row>
    <row r="31" spans="1:9" x14ac:dyDescent="0.35">
      <c r="C31" s="104"/>
      <c r="D31" s="104"/>
      <c r="E31" s="104"/>
      <c r="F31" s="104"/>
      <c r="G31" s="104"/>
      <c r="H31" s="209"/>
      <c r="I31" s="211"/>
    </row>
    <row r="32" spans="1:9" x14ac:dyDescent="0.35">
      <c r="C32" s="104"/>
      <c r="D32" s="104"/>
      <c r="E32" s="104"/>
      <c r="F32" s="104"/>
      <c r="G32" s="104"/>
      <c r="H32" s="104"/>
    </row>
    <row r="33" spans="1:9" x14ac:dyDescent="0.35">
      <c r="A33" s="198" t="s">
        <v>32</v>
      </c>
      <c r="B33" s="198"/>
      <c r="C33" s="196">
        <f t="shared" ref="C33:I33" si="2">SUM(C4:C28)</f>
        <v>45715927.534508526</v>
      </c>
      <c r="D33" s="196">
        <f t="shared" si="2"/>
        <v>-7059239.0115010506</v>
      </c>
      <c r="E33" s="197">
        <f t="shared" si="2"/>
        <v>24744534.494300891</v>
      </c>
      <c r="F33" s="197">
        <f t="shared" si="2"/>
        <v>275240.53012572962</v>
      </c>
      <c r="G33" s="197">
        <f t="shared" si="2"/>
        <v>39081166.783074409</v>
      </c>
      <c r="H33" s="212">
        <f>SUM(H4:H28)</f>
        <v>45715927.534508526</v>
      </c>
      <c r="I33" s="213">
        <f t="shared" si="2"/>
        <v>57041702.795999944</v>
      </c>
    </row>
    <row r="35" spans="1:9" x14ac:dyDescent="0.35">
      <c r="I35" s="4"/>
    </row>
    <row r="36" spans="1:9" x14ac:dyDescent="0.35">
      <c r="D36" s="4"/>
    </row>
    <row r="40" spans="1:9" x14ac:dyDescent="0.35">
      <c r="A40"/>
      <c r="B40"/>
    </row>
    <row r="41" spans="1:9" x14ac:dyDescent="0.35">
      <c r="A41"/>
      <c r="B41"/>
    </row>
    <row r="42" spans="1:9" x14ac:dyDescent="0.35">
      <c r="A42"/>
      <c r="B42"/>
    </row>
    <row r="43" spans="1:9" x14ac:dyDescent="0.35">
      <c r="A43"/>
      <c r="B43"/>
    </row>
    <row r="44" spans="1:9" x14ac:dyDescent="0.35">
      <c r="A44"/>
      <c r="B44"/>
    </row>
    <row r="45" spans="1:9" x14ac:dyDescent="0.35">
      <c r="A45"/>
      <c r="B45"/>
    </row>
    <row r="46" spans="1:9" x14ac:dyDescent="0.35">
      <c r="A46"/>
      <c r="B46"/>
    </row>
    <row r="47" spans="1:9" x14ac:dyDescent="0.35">
      <c r="A47"/>
      <c r="B47"/>
    </row>
    <row r="48" spans="1:9" x14ac:dyDescent="0.35">
      <c r="A48"/>
      <c r="B48"/>
    </row>
    <row r="49" spans="1:2" x14ac:dyDescent="0.35">
      <c r="A49"/>
      <c r="B49"/>
    </row>
    <row r="50" spans="1:2" x14ac:dyDescent="0.35">
      <c r="A50"/>
      <c r="B50"/>
    </row>
    <row r="51" spans="1:2" x14ac:dyDescent="0.35">
      <c r="A51"/>
      <c r="B51"/>
    </row>
    <row r="52" spans="1:2" x14ac:dyDescent="0.35">
      <c r="A52"/>
      <c r="B52"/>
    </row>
    <row r="53" spans="1:2" x14ac:dyDescent="0.35">
      <c r="A53"/>
      <c r="B53"/>
    </row>
    <row r="54" spans="1:2" x14ac:dyDescent="0.35">
      <c r="A54"/>
      <c r="B54"/>
    </row>
    <row r="55" spans="1:2" x14ac:dyDescent="0.35">
      <c r="A55"/>
      <c r="B55"/>
    </row>
    <row r="56" spans="1:2" x14ac:dyDescent="0.35">
      <c r="A56"/>
      <c r="B56"/>
    </row>
    <row r="57" spans="1:2" x14ac:dyDescent="0.35">
      <c r="A57"/>
      <c r="B57"/>
    </row>
    <row r="58" spans="1:2" x14ac:dyDescent="0.35">
      <c r="A58"/>
      <c r="B58"/>
    </row>
    <row r="59" spans="1:2" x14ac:dyDescent="0.35">
      <c r="A59"/>
      <c r="B59"/>
    </row>
    <row r="60" spans="1:2" x14ac:dyDescent="0.35">
      <c r="A60"/>
      <c r="B60"/>
    </row>
    <row r="61" spans="1:2" x14ac:dyDescent="0.35">
      <c r="A61"/>
      <c r="B61"/>
    </row>
    <row r="62" spans="1:2" x14ac:dyDescent="0.35">
      <c r="A62"/>
      <c r="B62"/>
    </row>
    <row r="63" spans="1:2" x14ac:dyDescent="0.35">
      <c r="A63"/>
      <c r="B63"/>
    </row>
    <row r="64" spans="1:2" x14ac:dyDescent="0.35">
      <c r="A64"/>
      <c r="B64"/>
    </row>
    <row r="65" spans="1:2" x14ac:dyDescent="0.35">
      <c r="A65"/>
      <c r="B65"/>
    </row>
    <row r="66" spans="1:2" x14ac:dyDescent="0.35">
      <c r="A66"/>
      <c r="B66"/>
    </row>
    <row r="67" spans="1:2" x14ac:dyDescent="0.35">
      <c r="A67"/>
      <c r="B67"/>
    </row>
    <row r="68" spans="1:2" x14ac:dyDescent="0.35">
      <c r="A68"/>
      <c r="B68"/>
    </row>
    <row r="69" spans="1:2" x14ac:dyDescent="0.35">
      <c r="A69"/>
      <c r="B69"/>
    </row>
    <row r="70" spans="1:2" x14ac:dyDescent="0.35">
      <c r="A70"/>
      <c r="B70"/>
    </row>
    <row r="71" spans="1:2" x14ac:dyDescent="0.35">
      <c r="A71"/>
      <c r="B71"/>
    </row>
    <row r="72" spans="1:2" x14ac:dyDescent="0.35">
      <c r="A72"/>
      <c r="B72"/>
    </row>
    <row r="73" spans="1:2" x14ac:dyDescent="0.35">
      <c r="A73"/>
      <c r="B73"/>
    </row>
    <row r="74" spans="1:2" x14ac:dyDescent="0.35">
      <c r="A74"/>
      <c r="B74"/>
    </row>
    <row r="75" spans="1:2" x14ac:dyDescent="0.35">
      <c r="A75"/>
      <c r="B75"/>
    </row>
  </sheetData>
  <mergeCells count="1">
    <mergeCell ref="A2:A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F40ED-B397-4508-8B73-CFEB320EE84D}">
  <sheetPr>
    <tabColor theme="8" tint="0.59999389629810485"/>
  </sheetPr>
  <dimension ref="B2:Q30"/>
  <sheetViews>
    <sheetView topLeftCell="D4" workbookViewId="0">
      <selection activeCell="D23" sqref="D23"/>
    </sheetView>
  </sheetViews>
  <sheetFormatPr defaultRowHeight="14.5" x14ac:dyDescent="0.35"/>
  <cols>
    <col min="2" max="2" width="24.453125" bestFit="1" customWidth="1"/>
    <col min="3" max="3" width="15.08984375" bestFit="1" customWidth="1"/>
    <col min="4" max="4" width="20.90625" bestFit="1" customWidth="1"/>
    <col min="5" max="5" width="19" bestFit="1" customWidth="1"/>
    <col min="6" max="6" width="38.08984375" bestFit="1" customWidth="1"/>
    <col min="7" max="7" width="15.08984375" bestFit="1" customWidth="1"/>
    <col min="8" max="8" width="6.90625" customWidth="1"/>
    <col min="9" max="9" width="24.453125" bestFit="1" customWidth="1"/>
    <col min="10" max="10" width="15.08984375" bestFit="1" customWidth="1"/>
    <col min="11" max="11" width="9.54296875" customWidth="1"/>
    <col min="12" max="12" width="19" bestFit="1" customWidth="1"/>
    <col min="13" max="13" width="14.08984375" bestFit="1" customWidth="1"/>
    <col min="14" max="14" width="17.453125" bestFit="1" customWidth="1"/>
  </cols>
  <sheetData>
    <row r="2" spans="2:17" ht="23.5" x14ac:dyDescent="0.55000000000000004">
      <c r="B2" s="122" t="str">
        <f>'Title Sheet'!B2</f>
        <v>Benefit-Cost Analysis Spreadsheet for the Englewood Line</v>
      </c>
    </row>
    <row r="4" spans="2:17" x14ac:dyDescent="0.35">
      <c r="B4" s="2" t="s">
        <v>4</v>
      </c>
    </row>
    <row r="5" spans="2:17" ht="15" thickBot="1" x14ac:dyDescent="0.4">
      <c r="B5" t="s">
        <v>27</v>
      </c>
      <c r="L5" t="s">
        <v>163</v>
      </c>
    </row>
    <row r="6" spans="2:17" x14ac:dyDescent="0.35">
      <c r="B6" s="269" t="s">
        <v>72</v>
      </c>
      <c r="C6" s="270"/>
      <c r="D6" s="271"/>
      <c r="F6" s="15" t="s">
        <v>174</v>
      </c>
      <c r="G6" s="96">
        <f>C23</f>
        <v>7345591</v>
      </c>
      <c r="H6" s="89"/>
      <c r="I6" s="97" t="s">
        <v>176</v>
      </c>
      <c r="J6" s="105">
        <f>C24</f>
        <v>189239</v>
      </c>
      <c r="L6" s="15" t="s">
        <v>164</v>
      </c>
      <c r="M6" s="105">
        <v>5775000</v>
      </c>
    </row>
    <row r="7" spans="2:17" ht="15" thickBot="1" x14ac:dyDescent="0.4">
      <c r="B7" s="5"/>
      <c r="C7" t="s">
        <v>19</v>
      </c>
      <c r="D7" s="6"/>
      <c r="F7" s="98" t="s">
        <v>73</v>
      </c>
      <c r="G7" s="218">
        <v>8488392.7400000002</v>
      </c>
      <c r="H7" s="54"/>
      <c r="I7" s="99" t="s">
        <v>74</v>
      </c>
      <c r="J7" s="218">
        <v>218680.15</v>
      </c>
      <c r="L7" s="109" t="s">
        <v>70</v>
      </c>
      <c r="M7" s="227">
        <f>M6/(1.07^2)</f>
        <v>5044108.6557777971</v>
      </c>
    </row>
    <row r="8" spans="2:17" x14ac:dyDescent="0.35">
      <c r="B8" s="5" t="s">
        <v>6</v>
      </c>
      <c r="C8" s="220">
        <v>7038000</v>
      </c>
      <c r="D8" s="6"/>
      <c r="F8" s="5" t="s">
        <v>166</v>
      </c>
      <c r="G8" s="218">
        <f>G7*((1+0.0025)^52)</f>
        <v>9665254.4628489465</v>
      </c>
      <c r="H8" s="54"/>
      <c r="I8" s="99" t="s">
        <v>75</v>
      </c>
      <c r="J8" s="218">
        <f>J7*((1+0.0025)^52)</f>
        <v>248998.76342479142</v>
      </c>
      <c r="Q8" s="101"/>
    </row>
    <row r="9" spans="2:17" ht="29.5" thickBot="1" x14ac:dyDescent="0.4">
      <c r="B9" s="8" t="s">
        <v>7</v>
      </c>
      <c r="C9" s="220">
        <v>1142500</v>
      </c>
      <c r="D9" s="6"/>
      <c r="F9" s="100" t="s">
        <v>70</v>
      </c>
      <c r="G9" s="224">
        <f>G7/(1.07^2)</f>
        <v>7414090.9599091625</v>
      </c>
      <c r="H9" s="54"/>
      <c r="I9" s="99"/>
      <c r="J9" s="218"/>
      <c r="Q9" s="101"/>
    </row>
    <row r="10" spans="2:17" ht="29.5" thickBot="1" x14ac:dyDescent="0.4">
      <c r="B10" s="8" t="s">
        <v>8</v>
      </c>
      <c r="C10" s="220">
        <v>3686640</v>
      </c>
      <c r="D10" s="6"/>
      <c r="G10" s="114"/>
      <c r="I10" s="102" t="s">
        <v>70</v>
      </c>
      <c r="J10" s="227">
        <f>J8/(1.07^6)</f>
        <v>165918.38974803721</v>
      </c>
      <c r="L10" s="2" t="s">
        <v>57</v>
      </c>
      <c r="Q10" s="101"/>
    </row>
    <row r="11" spans="2:17" ht="44" thickBot="1" x14ac:dyDescent="0.4">
      <c r="B11" s="5" t="s">
        <v>9</v>
      </c>
      <c r="C11" s="220">
        <v>386703.17</v>
      </c>
      <c r="D11" s="6"/>
      <c r="F11" s="15" t="s">
        <v>175</v>
      </c>
      <c r="G11" s="103">
        <f>C25-(SUM(C23,C16,C24,C22))</f>
        <v>30180629</v>
      </c>
      <c r="H11" s="54"/>
      <c r="I11" s="52"/>
      <c r="J11" s="114"/>
      <c r="K11" s="104"/>
      <c r="L11" s="82" t="s">
        <v>62</v>
      </c>
      <c r="M11" s="83">
        <v>0</v>
      </c>
    </row>
    <row r="12" spans="2:17" x14ac:dyDescent="0.35">
      <c r="B12" s="5" t="s">
        <v>10</v>
      </c>
      <c r="C12" s="220">
        <v>1018583.17</v>
      </c>
      <c r="D12" s="6"/>
      <c r="F12" s="5" t="s">
        <v>76</v>
      </c>
      <c r="G12" s="218">
        <v>34875300</v>
      </c>
      <c r="H12" s="54"/>
      <c r="I12" s="97" t="s">
        <v>20</v>
      </c>
      <c r="J12" s="105">
        <f>C22</f>
        <v>6121326</v>
      </c>
      <c r="M12" s="52"/>
      <c r="Q12" s="1"/>
    </row>
    <row r="13" spans="2:17" x14ac:dyDescent="0.35">
      <c r="B13" s="5" t="s">
        <v>11</v>
      </c>
      <c r="C13" s="220">
        <v>2695890</v>
      </c>
      <c r="D13" s="6"/>
      <c r="F13" s="106" t="s">
        <v>77</v>
      </c>
      <c r="G13" s="218">
        <v>19855269.383317702</v>
      </c>
      <c r="H13" s="44"/>
      <c r="I13" s="107" t="s">
        <v>74</v>
      </c>
      <c r="J13" s="218">
        <v>7073660.8099999996</v>
      </c>
      <c r="K13" s="108"/>
      <c r="M13" s="52"/>
    </row>
    <row r="14" spans="2:17" x14ac:dyDescent="0.35">
      <c r="B14" s="5" t="s">
        <v>12</v>
      </c>
      <c r="C14" s="220">
        <v>57727.1</v>
      </c>
      <c r="D14" s="6"/>
      <c r="F14" s="98" t="s">
        <v>78</v>
      </c>
      <c r="G14" s="218">
        <v>19855269.383317664</v>
      </c>
      <c r="H14" s="54"/>
      <c r="I14" s="99" t="s">
        <v>75</v>
      </c>
      <c r="J14" s="218">
        <f>(SUM(G25,G13:G14,J8)*0.2)/2</f>
        <v>4399716.6135839997</v>
      </c>
      <c r="K14" s="108"/>
      <c r="L14" s="104"/>
      <c r="M14" s="52"/>
    </row>
    <row r="15" spans="2:17" x14ac:dyDescent="0.35">
      <c r="B15" s="5" t="s">
        <v>13</v>
      </c>
      <c r="C15" s="220">
        <v>4701330</v>
      </c>
      <c r="D15" s="6"/>
      <c r="F15" s="98" t="s">
        <v>79</v>
      </c>
      <c r="G15" s="70">
        <f>SUM(G13:G14)</f>
        <v>39710538.766635366</v>
      </c>
      <c r="H15" s="54"/>
      <c r="I15" s="99" t="s">
        <v>80</v>
      </c>
      <c r="J15" s="218">
        <f>(SUM(G25,G13:G14,J8)*0.2)/2</f>
        <v>4399716.6135839997</v>
      </c>
      <c r="L15" s="237"/>
      <c r="M15" s="52"/>
    </row>
    <row r="16" spans="2:17" ht="15" thickBot="1" x14ac:dyDescent="0.4">
      <c r="B16" s="8" t="s">
        <v>5</v>
      </c>
      <c r="C16" s="220">
        <v>426000</v>
      </c>
      <c r="D16" s="6"/>
      <c r="F16" s="109" t="s">
        <v>70</v>
      </c>
      <c r="G16" s="224">
        <f>G15/(1.07^7)</f>
        <v>24729727.767020222</v>
      </c>
      <c r="H16" s="1"/>
      <c r="I16" s="110" t="s">
        <v>24</v>
      </c>
      <c r="J16" s="218">
        <f>SUM(J14:J15)</f>
        <v>8799433.2271679994</v>
      </c>
      <c r="L16" s="235"/>
      <c r="M16" s="52"/>
    </row>
    <row r="17" spans="2:17" ht="15" thickBot="1" x14ac:dyDescent="0.4">
      <c r="B17" s="5" t="s">
        <v>14</v>
      </c>
      <c r="C17" s="220">
        <v>263255.87</v>
      </c>
      <c r="D17" s="6"/>
      <c r="G17" s="114"/>
      <c r="H17" s="54"/>
      <c r="I17" s="111" t="s">
        <v>70</v>
      </c>
      <c r="J17" s="227">
        <f>((J14/(1.07^6)+(J15/(1.07^7))))</f>
        <v>5671639.3379328009</v>
      </c>
      <c r="M17" s="52"/>
    </row>
    <row r="18" spans="2:17" ht="15" thickBot="1" x14ac:dyDescent="0.4">
      <c r="B18" s="8" t="s">
        <v>15</v>
      </c>
      <c r="C18" s="220">
        <v>5940000</v>
      </c>
      <c r="D18" s="6"/>
      <c r="F18" t="s">
        <v>23</v>
      </c>
      <c r="G18" s="114"/>
      <c r="H18" s="54"/>
      <c r="I18" s="52"/>
      <c r="J18" s="114"/>
      <c r="M18" s="52"/>
    </row>
    <row r="19" spans="2:17" ht="29" x14ac:dyDescent="0.35">
      <c r="B19" s="5" t="s">
        <v>16</v>
      </c>
      <c r="C19" s="220">
        <v>3250000</v>
      </c>
      <c r="D19" s="6"/>
      <c r="F19" s="79" t="s">
        <v>22</v>
      </c>
      <c r="G19" s="225"/>
      <c r="H19" s="54"/>
      <c r="I19" s="238" t="s">
        <v>169</v>
      </c>
      <c r="J19" s="105">
        <f>SUM(G25,G15,J8,J16,G8,M6)</f>
        <v>68236853.825856954</v>
      </c>
      <c r="K19" s="114"/>
      <c r="M19" s="52"/>
    </row>
    <row r="20" spans="2:17" x14ac:dyDescent="0.35">
      <c r="B20" s="5"/>
      <c r="C20" s="114"/>
      <c r="D20" s="6"/>
      <c r="F20" s="5"/>
      <c r="G20" s="218" t="s">
        <v>19</v>
      </c>
      <c r="H20" s="54"/>
      <c r="I20" s="112" t="s">
        <v>81</v>
      </c>
      <c r="J20" s="95">
        <f>G9</f>
        <v>7414090.9599091625</v>
      </c>
      <c r="K20" s="113"/>
      <c r="L20" s="4"/>
      <c r="M20" s="52"/>
    </row>
    <row r="21" spans="2:17" ht="29" x14ac:dyDescent="0.35">
      <c r="B21" s="8" t="s">
        <v>17</v>
      </c>
      <c r="C21" s="114">
        <f>SUM(C8:C19)</f>
        <v>30606629.309999999</v>
      </c>
      <c r="D21" s="6"/>
      <c r="F21" s="8" t="s">
        <v>173</v>
      </c>
      <c r="G21" s="226">
        <v>2550000</v>
      </c>
      <c r="H21" s="54"/>
      <c r="I21" s="112" t="s">
        <v>82</v>
      </c>
      <c r="J21" s="95">
        <f>G16</f>
        <v>24729727.767020222</v>
      </c>
      <c r="L21" s="114"/>
      <c r="M21" s="52"/>
    </row>
    <row r="22" spans="2:17" x14ac:dyDescent="0.35">
      <c r="B22" s="8" t="s">
        <v>20</v>
      </c>
      <c r="C22" s="220">
        <v>6121326</v>
      </c>
      <c r="D22" s="12">
        <v>0.2</v>
      </c>
      <c r="F22" s="5" t="s">
        <v>84</v>
      </c>
      <c r="G22" s="218">
        <v>426000</v>
      </c>
      <c r="H22" s="54"/>
      <c r="I22" s="112" t="s">
        <v>83</v>
      </c>
      <c r="J22" s="95">
        <f>G26</f>
        <v>2690442.4241205058</v>
      </c>
      <c r="K22" s="101"/>
      <c r="L22" s="236"/>
      <c r="M22" s="52"/>
    </row>
    <row r="23" spans="2:17" x14ac:dyDescent="0.35">
      <c r="B23" s="8" t="s">
        <v>162</v>
      </c>
      <c r="C23" s="220">
        <v>7345591</v>
      </c>
      <c r="D23" s="12">
        <v>0.2</v>
      </c>
      <c r="F23" s="5" t="s">
        <v>24</v>
      </c>
      <c r="G23" s="226">
        <f>SUM(G22,G21)</f>
        <v>2976000</v>
      </c>
      <c r="H23" s="54"/>
      <c r="I23" s="112" t="s">
        <v>85</v>
      </c>
      <c r="J23" s="95">
        <f>J10</f>
        <v>165918.38974803721</v>
      </c>
      <c r="K23" s="116"/>
      <c r="L23" s="117"/>
      <c r="M23" s="52"/>
    </row>
    <row r="24" spans="2:17" x14ac:dyDescent="0.35">
      <c r="B24" s="8" t="s">
        <v>18</v>
      </c>
      <c r="C24" s="220">
        <v>189239</v>
      </c>
      <c r="D24" s="6"/>
      <c r="F24" s="5" t="s">
        <v>74</v>
      </c>
      <c r="G24" s="218">
        <f>3053722.84+492275.61</f>
        <v>3545998.4499999997</v>
      </c>
      <c r="H24" s="54"/>
      <c r="I24" s="112" t="s">
        <v>171</v>
      </c>
      <c r="J24" s="95">
        <f>J17</f>
        <v>5671639.3379328009</v>
      </c>
      <c r="L24" s="115"/>
      <c r="M24" s="52"/>
    </row>
    <row r="25" spans="2:17" x14ac:dyDescent="0.35">
      <c r="B25" s="9" t="s">
        <v>21</v>
      </c>
      <c r="C25" s="222">
        <v>44262785</v>
      </c>
      <c r="D25" s="6"/>
      <c r="F25" s="8" t="s">
        <v>86</v>
      </c>
      <c r="G25" s="218">
        <f>G24*((1+0.0025)^52)</f>
        <v>4037628.6057798434</v>
      </c>
      <c r="H25" s="54"/>
      <c r="I25" s="112" t="s">
        <v>165</v>
      </c>
      <c r="J25" s="95">
        <f>M7</f>
        <v>5044108.6557777971</v>
      </c>
      <c r="L25" s="44"/>
      <c r="M25" s="52"/>
      <c r="Q25" s="11"/>
    </row>
    <row r="26" spans="2:17" ht="15" thickBot="1" x14ac:dyDescent="0.4">
      <c r="B26" s="119" t="s">
        <v>69</v>
      </c>
      <c r="C26" s="223">
        <v>50685000</v>
      </c>
      <c r="D26" s="14"/>
      <c r="F26" s="94" t="s">
        <v>70</v>
      </c>
      <c r="G26" s="227">
        <f>G25/(1.07^6)</f>
        <v>2690442.4241205058</v>
      </c>
      <c r="H26" s="54"/>
      <c r="I26" s="118" t="s">
        <v>87</v>
      </c>
      <c r="J26" s="219">
        <f>SUM(J20:J25)</f>
        <v>45715927.534508526</v>
      </c>
      <c r="M26" s="52"/>
    </row>
    <row r="27" spans="2:17" x14ac:dyDescent="0.35">
      <c r="H27" s="54"/>
      <c r="K27" s="1"/>
      <c r="L27" s="120"/>
      <c r="M27" s="52"/>
    </row>
    <row r="28" spans="2:17" ht="15" thickBot="1" x14ac:dyDescent="0.4">
      <c r="B28" s="90"/>
      <c r="C28" s="90"/>
      <c r="D28" s="90"/>
      <c r="E28" s="90"/>
      <c r="F28" s="93"/>
      <c r="G28" s="90"/>
      <c r="H28" s="90"/>
      <c r="I28" s="90"/>
    </row>
    <row r="29" spans="2:17" x14ac:dyDescent="0.35">
      <c r="F29" s="120"/>
      <c r="G29" s="4"/>
    </row>
    <row r="30" spans="2:17" x14ac:dyDescent="0.35">
      <c r="G30" s="4"/>
    </row>
  </sheetData>
  <mergeCells count="1">
    <mergeCell ref="B6:D6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65B8E-DBE5-4D5A-A3FA-77FBB3689ECC}">
  <sheetPr>
    <tabColor theme="9"/>
  </sheetPr>
  <dimension ref="B2:F26"/>
  <sheetViews>
    <sheetView workbookViewId="0">
      <selection activeCell="K38" sqref="K38"/>
    </sheetView>
  </sheetViews>
  <sheetFormatPr defaultRowHeight="14.5" x14ac:dyDescent="0.35"/>
  <cols>
    <col min="2" max="2" width="22.08984375" bestFit="1" customWidth="1"/>
    <col min="3" max="3" width="12.54296875" bestFit="1" customWidth="1"/>
    <col min="5" max="5" width="19.453125" bestFit="1" customWidth="1"/>
    <col min="6" max="6" width="19" bestFit="1" customWidth="1"/>
  </cols>
  <sheetData>
    <row r="2" spans="2:5" ht="15" thickBot="1" x14ac:dyDescent="0.4">
      <c r="B2" t="s">
        <v>63</v>
      </c>
    </row>
    <row r="3" spans="2:5" ht="15" thickBot="1" x14ac:dyDescent="0.4">
      <c r="B3" s="121" t="s">
        <v>64</v>
      </c>
      <c r="C3" s="91">
        <v>20000000</v>
      </c>
    </row>
    <row r="4" spans="2:5" ht="15" thickBot="1" x14ac:dyDescent="0.4">
      <c r="B4" s="1"/>
      <c r="C4" s="120"/>
    </row>
    <row r="5" spans="2:5" ht="44" thickBot="1" x14ac:dyDescent="0.4">
      <c r="B5" s="121" t="s">
        <v>26</v>
      </c>
      <c r="C5" s="73" t="s">
        <v>71</v>
      </c>
      <c r="D5" s="74" t="s">
        <v>61</v>
      </c>
      <c r="E5" s="75" t="s">
        <v>60</v>
      </c>
    </row>
    <row r="6" spans="2:5" x14ac:dyDescent="0.35">
      <c r="B6" s="15">
        <v>2027</v>
      </c>
      <c r="C6" s="253">
        <v>1000000</v>
      </c>
      <c r="D6" s="254">
        <v>7</v>
      </c>
      <c r="E6" s="103">
        <f t="shared" ref="E6:E25" si="0">C6/(1.07^D6)</f>
        <v>622749.74188459106</v>
      </c>
    </row>
    <row r="7" spans="2:5" x14ac:dyDescent="0.35">
      <c r="B7" s="5">
        <v>2028</v>
      </c>
      <c r="C7" s="52">
        <v>1000000</v>
      </c>
      <c r="D7" s="54">
        <v>8</v>
      </c>
      <c r="E7" s="70">
        <f t="shared" si="0"/>
        <v>582009.10456503846</v>
      </c>
    </row>
    <row r="8" spans="2:5" x14ac:dyDescent="0.35">
      <c r="B8" s="5">
        <v>2029</v>
      </c>
      <c r="C8" s="52">
        <v>1000000</v>
      </c>
      <c r="D8" s="54">
        <v>9</v>
      </c>
      <c r="E8" s="70">
        <f t="shared" si="0"/>
        <v>543933.74258414796</v>
      </c>
    </row>
    <row r="9" spans="2:5" x14ac:dyDescent="0.35">
      <c r="B9" s="5">
        <v>2030</v>
      </c>
      <c r="C9" s="52">
        <v>1000000</v>
      </c>
      <c r="D9" s="54">
        <v>10</v>
      </c>
      <c r="E9" s="70">
        <f t="shared" si="0"/>
        <v>508349.29213471781</v>
      </c>
    </row>
    <row r="10" spans="2:5" x14ac:dyDescent="0.35">
      <c r="B10" s="5">
        <v>2031</v>
      </c>
      <c r="C10" s="52">
        <v>1000000</v>
      </c>
      <c r="D10" s="54">
        <v>11</v>
      </c>
      <c r="E10" s="70">
        <f t="shared" si="0"/>
        <v>475092.79638758668</v>
      </c>
    </row>
    <row r="11" spans="2:5" x14ac:dyDescent="0.35">
      <c r="B11" s="5">
        <v>2032</v>
      </c>
      <c r="C11" s="52">
        <v>1000000</v>
      </c>
      <c r="D11" s="54">
        <v>12</v>
      </c>
      <c r="E11" s="70">
        <f t="shared" si="0"/>
        <v>444011.95924073528</v>
      </c>
    </row>
    <row r="12" spans="2:5" x14ac:dyDescent="0.35">
      <c r="B12" s="5">
        <v>2033</v>
      </c>
      <c r="C12" s="52">
        <v>1000000</v>
      </c>
      <c r="D12" s="54">
        <v>13</v>
      </c>
      <c r="E12" s="70">
        <f t="shared" si="0"/>
        <v>414964.4478885376</v>
      </c>
    </row>
    <row r="13" spans="2:5" x14ac:dyDescent="0.35">
      <c r="B13" s="5">
        <v>2034</v>
      </c>
      <c r="C13" s="52">
        <v>1000000</v>
      </c>
      <c r="D13" s="54">
        <v>14</v>
      </c>
      <c r="E13" s="70">
        <f t="shared" si="0"/>
        <v>387817.24101732491</v>
      </c>
    </row>
    <row r="14" spans="2:5" x14ac:dyDescent="0.35">
      <c r="B14" s="5">
        <v>2035</v>
      </c>
      <c r="C14" s="52">
        <v>1000000</v>
      </c>
      <c r="D14" s="54">
        <v>15</v>
      </c>
      <c r="E14" s="70">
        <f t="shared" si="0"/>
        <v>362446.01964235969</v>
      </c>
    </row>
    <row r="15" spans="2:5" x14ac:dyDescent="0.35">
      <c r="B15" s="5">
        <v>2036</v>
      </c>
      <c r="C15" s="52">
        <v>1000000</v>
      </c>
      <c r="D15" s="54">
        <v>16</v>
      </c>
      <c r="E15" s="70">
        <f t="shared" si="0"/>
        <v>338734.59779659787</v>
      </c>
    </row>
    <row r="16" spans="2:5" x14ac:dyDescent="0.35">
      <c r="B16" s="5">
        <v>2037</v>
      </c>
      <c r="C16" s="52">
        <v>1000000</v>
      </c>
      <c r="D16" s="54">
        <v>17</v>
      </c>
      <c r="E16" s="70">
        <f t="shared" si="0"/>
        <v>316574.39046411018</v>
      </c>
    </row>
    <row r="17" spans="2:6" x14ac:dyDescent="0.35">
      <c r="B17" s="5">
        <v>2038</v>
      </c>
      <c r="C17" s="52">
        <v>1000000</v>
      </c>
      <c r="D17" s="54">
        <v>18</v>
      </c>
      <c r="E17" s="70">
        <f t="shared" si="0"/>
        <v>295863.91632159828</v>
      </c>
    </row>
    <row r="18" spans="2:6" x14ac:dyDescent="0.35">
      <c r="B18" s="5">
        <v>2039</v>
      </c>
      <c r="C18" s="52">
        <v>1000000</v>
      </c>
      <c r="D18" s="54">
        <v>19</v>
      </c>
      <c r="E18" s="70">
        <f t="shared" si="0"/>
        <v>276508.33301083947</v>
      </c>
    </row>
    <row r="19" spans="2:6" x14ac:dyDescent="0.35">
      <c r="B19" s="5">
        <v>2040</v>
      </c>
      <c r="C19" s="52">
        <v>1000000</v>
      </c>
      <c r="D19" s="54">
        <v>20</v>
      </c>
      <c r="E19" s="70">
        <f t="shared" si="0"/>
        <v>258419.00281386869</v>
      </c>
    </row>
    <row r="20" spans="2:6" x14ac:dyDescent="0.35">
      <c r="B20" s="5">
        <v>2041</v>
      </c>
      <c r="C20" s="52">
        <v>1000000</v>
      </c>
      <c r="D20" s="54">
        <v>21</v>
      </c>
      <c r="E20" s="70">
        <f t="shared" si="0"/>
        <v>241513.08674193334</v>
      </c>
    </row>
    <row r="21" spans="2:6" x14ac:dyDescent="0.35">
      <c r="B21" s="5">
        <v>2042</v>
      </c>
      <c r="C21" s="52">
        <v>1000000</v>
      </c>
      <c r="D21" s="54">
        <v>22</v>
      </c>
      <c r="E21" s="70">
        <f t="shared" si="0"/>
        <v>225713.16517937696</v>
      </c>
    </row>
    <row r="22" spans="2:6" x14ac:dyDescent="0.35">
      <c r="B22" s="5">
        <v>2043</v>
      </c>
      <c r="C22" s="52">
        <v>1000000</v>
      </c>
      <c r="D22" s="54">
        <v>23</v>
      </c>
      <c r="E22" s="70">
        <f t="shared" si="0"/>
        <v>210946.88334521212</v>
      </c>
    </row>
    <row r="23" spans="2:6" x14ac:dyDescent="0.35">
      <c r="B23" s="5">
        <v>2044</v>
      </c>
      <c r="C23" s="52">
        <v>1000000</v>
      </c>
      <c r="D23" s="54">
        <v>24</v>
      </c>
      <c r="E23" s="70">
        <f t="shared" si="0"/>
        <v>197146.61994879635</v>
      </c>
    </row>
    <row r="24" spans="2:6" x14ac:dyDescent="0.35">
      <c r="B24" s="5">
        <v>2045</v>
      </c>
      <c r="C24" s="52">
        <v>1000000</v>
      </c>
      <c r="D24" s="54">
        <v>25</v>
      </c>
      <c r="E24" s="70">
        <f t="shared" si="0"/>
        <v>184249.17752223957</v>
      </c>
    </row>
    <row r="25" spans="2:6" ht="15" thickBot="1" x14ac:dyDescent="0.4">
      <c r="B25" s="88">
        <v>2046</v>
      </c>
      <c r="C25" s="242">
        <v>1000000</v>
      </c>
      <c r="D25" s="255">
        <v>26</v>
      </c>
      <c r="E25" s="71">
        <f t="shared" si="0"/>
        <v>172195.49301143887</v>
      </c>
    </row>
    <row r="26" spans="2:6" ht="15" thickBot="1" x14ac:dyDescent="0.4">
      <c r="C26" s="252">
        <f>SUM(C6:C25)</f>
        <v>20000000</v>
      </c>
      <c r="D26" s="90"/>
      <c r="E26" s="227">
        <f>SUM(E6:E25)</f>
        <v>7059239.0115010506</v>
      </c>
      <c r="F26" s="92" t="s">
        <v>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77CCF-72AF-4A2B-92A4-EE2D80D7C42D}">
  <sheetPr>
    <tabColor theme="9"/>
  </sheetPr>
  <dimension ref="A2:T49"/>
  <sheetViews>
    <sheetView topLeftCell="A26" workbookViewId="0">
      <selection activeCell="D22" sqref="D22"/>
    </sheetView>
  </sheetViews>
  <sheetFormatPr defaultRowHeight="14.5" x14ac:dyDescent="0.35"/>
  <cols>
    <col min="2" max="2" width="26.90625" bestFit="1" customWidth="1"/>
    <col min="3" max="3" width="25.453125" customWidth="1"/>
    <col min="4" max="4" width="18.90625" bestFit="1" customWidth="1"/>
    <col min="5" max="5" width="18.90625" customWidth="1"/>
    <col min="6" max="6" width="25.90625" bestFit="1" customWidth="1"/>
    <col min="7" max="7" width="19.90625" bestFit="1" customWidth="1"/>
    <col min="8" max="8" width="16" bestFit="1" customWidth="1"/>
    <col min="9" max="10" width="15.90625" bestFit="1" customWidth="1"/>
    <col min="11" max="11" width="15.08984375" bestFit="1" customWidth="1"/>
    <col min="12" max="12" width="11.90625" bestFit="1" customWidth="1"/>
    <col min="13" max="13" width="19.453125" bestFit="1" customWidth="1"/>
  </cols>
  <sheetData>
    <row r="2" spans="1:20" ht="23.5" x14ac:dyDescent="0.55000000000000004">
      <c r="B2" s="122" t="str">
        <f>'Title Sheet'!B2</f>
        <v>Benefit-Cost Analysis Spreadsheet for the Englewood Line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20" x14ac:dyDescent="0.35">
      <c r="B3" s="1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20" ht="15" thickBot="1" x14ac:dyDescent="0.4">
      <c r="B4" s="1" t="s">
        <v>40</v>
      </c>
      <c r="C4" s="24"/>
      <c r="D4" s="24"/>
      <c r="E4" s="24"/>
      <c r="F4" s="24"/>
      <c r="G4" s="24" t="s">
        <v>41</v>
      </c>
      <c r="H4" s="24" t="s">
        <v>143</v>
      </c>
      <c r="I4" s="24"/>
      <c r="J4" s="24"/>
      <c r="K4" s="24"/>
      <c r="L4" s="24"/>
      <c r="M4" s="24"/>
      <c r="N4" s="24"/>
    </row>
    <row r="5" spans="1:20" ht="15" thickBot="1" x14ac:dyDescent="0.4">
      <c r="B5" s="24"/>
      <c r="C5" s="24"/>
      <c r="D5" s="24"/>
      <c r="E5" s="24"/>
      <c r="F5" s="24" t="s">
        <v>42</v>
      </c>
      <c r="G5" s="261">
        <f>K43</f>
        <v>70105387.999999985</v>
      </c>
      <c r="H5" s="262">
        <f>M43</f>
        <v>24744534.494300891</v>
      </c>
      <c r="I5" s="24"/>
      <c r="J5" s="24"/>
      <c r="K5" s="24"/>
      <c r="L5" s="24"/>
      <c r="M5" s="24"/>
      <c r="N5" s="24"/>
    </row>
    <row r="6" spans="1:20" x14ac:dyDescent="0.35">
      <c r="B6" s="24" t="s">
        <v>25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20" x14ac:dyDescent="0.35">
      <c r="B7" s="24" t="s">
        <v>43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20" x14ac:dyDescent="0.35"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20" ht="15" thickBot="1" x14ac:dyDescent="0.4">
      <c r="B9" s="1" t="s">
        <v>160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20" ht="45" customHeight="1" x14ac:dyDescent="0.35">
      <c r="B10" s="56" t="s">
        <v>26</v>
      </c>
      <c r="C10" s="272" t="s">
        <v>138</v>
      </c>
      <c r="D10" s="272"/>
      <c r="E10" s="272" t="s">
        <v>139</v>
      </c>
      <c r="F10" s="273"/>
      <c r="G10" s="24"/>
      <c r="H10" s="24"/>
      <c r="I10" s="24"/>
      <c r="J10" s="24"/>
      <c r="K10" s="24"/>
      <c r="L10" s="24"/>
      <c r="M10" s="24"/>
      <c r="N10" s="24"/>
    </row>
    <row r="11" spans="1:20" ht="15" thickBot="1" x14ac:dyDescent="0.4">
      <c r="B11" s="53"/>
      <c r="C11" s="58" t="s">
        <v>31</v>
      </c>
      <c r="D11" s="58" t="s">
        <v>30</v>
      </c>
      <c r="E11" s="58" t="s">
        <v>31</v>
      </c>
      <c r="F11" s="59" t="s">
        <v>30</v>
      </c>
      <c r="G11" s="24"/>
      <c r="H11" s="24"/>
      <c r="I11" s="29"/>
      <c r="J11" s="29"/>
      <c r="K11" s="29"/>
      <c r="L11" s="29"/>
      <c r="M11" s="29"/>
      <c r="N11" s="29"/>
      <c r="O11" s="17"/>
      <c r="P11" s="17"/>
      <c r="Q11" s="17"/>
      <c r="R11" s="17"/>
      <c r="S11" s="17"/>
      <c r="T11" s="17"/>
    </row>
    <row r="12" spans="1:20" x14ac:dyDescent="0.35">
      <c r="A12" s="31"/>
      <c r="B12" s="60">
        <v>2016</v>
      </c>
      <c r="C12" s="32">
        <v>20</v>
      </c>
      <c r="D12" s="32">
        <v>0</v>
      </c>
      <c r="E12" s="32">
        <v>8</v>
      </c>
      <c r="F12" s="33">
        <v>0</v>
      </c>
      <c r="G12" s="24"/>
      <c r="H12" s="24"/>
      <c r="I12" s="29"/>
      <c r="J12" s="29"/>
      <c r="K12" s="29"/>
      <c r="L12" s="29"/>
      <c r="M12" s="29"/>
      <c r="N12" s="29"/>
      <c r="O12" s="37"/>
      <c r="P12" s="37"/>
      <c r="Q12" s="37"/>
      <c r="R12" s="37"/>
      <c r="S12" s="17"/>
      <c r="T12" s="17"/>
    </row>
    <row r="13" spans="1:20" x14ac:dyDescent="0.35">
      <c r="A13" s="31"/>
      <c r="B13" s="60">
        <v>2017</v>
      </c>
      <c r="C13" s="32">
        <v>6</v>
      </c>
      <c r="D13" s="32">
        <v>0</v>
      </c>
      <c r="E13" s="32">
        <v>6</v>
      </c>
      <c r="F13" s="33">
        <v>0</v>
      </c>
      <c r="G13" s="24"/>
      <c r="H13" s="24"/>
      <c r="I13" s="29"/>
      <c r="J13" s="61"/>
      <c r="K13" s="61"/>
      <c r="L13" s="61"/>
      <c r="M13" s="61"/>
      <c r="N13" s="61"/>
      <c r="O13" s="37"/>
      <c r="P13" s="37"/>
      <c r="Q13" s="37"/>
      <c r="R13" s="37"/>
      <c r="S13" s="17"/>
      <c r="T13" s="17"/>
    </row>
    <row r="14" spans="1:20" x14ac:dyDescent="0.35">
      <c r="A14" s="31"/>
      <c r="B14" s="60">
        <v>2018</v>
      </c>
      <c r="C14" s="32">
        <v>9</v>
      </c>
      <c r="D14" s="32">
        <v>1</v>
      </c>
      <c r="E14" s="32">
        <v>4</v>
      </c>
      <c r="F14" s="33">
        <v>0</v>
      </c>
      <c r="G14" s="24"/>
      <c r="H14" s="24"/>
      <c r="I14" s="30"/>
      <c r="J14" s="62"/>
      <c r="K14" s="62"/>
      <c r="L14" s="62"/>
      <c r="M14" s="62"/>
      <c r="N14" s="62"/>
      <c r="O14" s="36"/>
      <c r="P14" s="37"/>
      <c r="Q14" s="37"/>
      <c r="R14" s="37"/>
      <c r="S14" s="17"/>
      <c r="T14" s="17"/>
    </row>
    <row r="15" spans="1:20" x14ac:dyDescent="0.35">
      <c r="A15" s="31"/>
      <c r="B15" s="60">
        <v>2019</v>
      </c>
      <c r="C15" s="32">
        <v>4</v>
      </c>
      <c r="D15" s="32">
        <v>0</v>
      </c>
      <c r="E15" s="32">
        <v>1</v>
      </c>
      <c r="F15" s="33">
        <v>0</v>
      </c>
      <c r="G15" s="24"/>
      <c r="H15" s="24"/>
      <c r="I15" s="30"/>
      <c r="J15" s="63"/>
      <c r="K15" s="63"/>
      <c r="L15" s="63"/>
      <c r="M15" s="63"/>
      <c r="N15" s="63"/>
      <c r="O15" s="39"/>
      <c r="P15" s="39"/>
      <c r="Q15" s="39"/>
      <c r="R15" s="40"/>
      <c r="S15" s="17"/>
      <c r="T15" s="17"/>
    </row>
    <row r="16" spans="1:20" ht="15" thickBot="1" x14ac:dyDescent="0.4">
      <c r="A16" s="31"/>
      <c r="B16" s="64">
        <v>2020</v>
      </c>
      <c r="C16" s="34">
        <v>5</v>
      </c>
      <c r="D16" s="34">
        <v>1</v>
      </c>
      <c r="E16" s="65">
        <v>4</v>
      </c>
      <c r="F16" s="66">
        <v>0</v>
      </c>
      <c r="G16" s="24"/>
      <c r="H16" s="24"/>
      <c r="I16" s="29"/>
      <c r="J16" s="52"/>
      <c r="K16" s="52"/>
      <c r="L16" s="52"/>
      <c r="M16" s="52"/>
      <c r="N16" s="52"/>
      <c r="O16" s="41"/>
      <c r="P16" s="41"/>
      <c r="Q16" s="42"/>
      <c r="R16" s="35"/>
      <c r="S16" s="17"/>
      <c r="T16" s="17"/>
    </row>
    <row r="17" spans="2:20" ht="15" thickBot="1" x14ac:dyDescent="0.4">
      <c r="B17" s="24"/>
      <c r="C17" s="24"/>
      <c r="D17" s="28"/>
      <c r="E17" s="28"/>
      <c r="F17" s="23"/>
      <c r="G17" s="24"/>
      <c r="H17" s="24"/>
      <c r="I17" s="29"/>
      <c r="J17" s="52"/>
      <c r="K17" s="52"/>
      <c r="L17" s="52"/>
      <c r="M17" s="52"/>
      <c r="N17" s="52"/>
      <c r="O17" s="41"/>
      <c r="P17" s="41"/>
      <c r="Q17" s="42"/>
      <c r="R17" s="35"/>
      <c r="S17" s="17"/>
      <c r="T17" s="17"/>
    </row>
    <row r="18" spans="2:20" x14ac:dyDescent="0.35">
      <c r="B18" s="56"/>
      <c r="C18" s="67" t="s">
        <v>140</v>
      </c>
      <c r="D18" s="57" t="s">
        <v>141</v>
      </c>
      <c r="E18" s="28"/>
      <c r="F18" s="23"/>
      <c r="G18" s="24"/>
      <c r="H18" s="24"/>
      <c r="I18" s="55">
        <v>7.1020000000000003</v>
      </c>
      <c r="J18" s="54">
        <v>0.21200000000000002</v>
      </c>
      <c r="K18" s="52"/>
      <c r="L18" s="52"/>
      <c r="M18" s="52"/>
      <c r="N18" s="52"/>
      <c r="O18" s="41"/>
      <c r="P18" s="41"/>
      <c r="Q18" s="42"/>
      <c r="R18" s="35"/>
      <c r="S18" s="17"/>
      <c r="T18" s="17"/>
    </row>
    <row r="19" spans="2:20" x14ac:dyDescent="0.35">
      <c r="B19" s="25" t="s">
        <v>32</v>
      </c>
      <c r="C19" s="28">
        <f>SUM(C12:C16,E12:E16)</f>
        <v>67</v>
      </c>
      <c r="D19" s="27">
        <f>SUM(D12:D16,F12:F16)</f>
        <v>2</v>
      </c>
      <c r="E19" s="28"/>
      <c r="F19" s="23"/>
      <c r="G19" s="24"/>
      <c r="H19" s="24"/>
      <c r="I19" s="29"/>
      <c r="J19" s="52"/>
      <c r="K19" s="52"/>
      <c r="L19" s="52"/>
      <c r="M19" s="52"/>
      <c r="N19" s="52"/>
      <c r="O19" s="41"/>
      <c r="P19" s="41"/>
      <c r="Q19" s="42"/>
      <c r="R19" s="35"/>
      <c r="S19" s="17"/>
      <c r="T19" s="17"/>
    </row>
    <row r="20" spans="2:20" x14ac:dyDescent="0.35">
      <c r="B20" s="25" t="s">
        <v>36</v>
      </c>
      <c r="C20" s="28">
        <f>C19/5</f>
        <v>13.4</v>
      </c>
      <c r="D20" s="27">
        <f>D19/5</f>
        <v>0.4</v>
      </c>
      <c r="E20" s="28"/>
      <c r="F20" s="23"/>
      <c r="G20" s="24"/>
      <c r="H20" s="46" t="s">
        <v>161</v>
      </c>
      <c r="I20" s="47"/>
      <c r="J20" s="48"/>
      <c r="K20" s="48"/>
      <c r="L20" s="48"/>
      <c r="M20" s="48"/>
      <c r="N20" s="48"/>
      <c r="O20" s="41"/>
      <c r="P20" s="41"/>
      <c r="Q20" s="42"/>
      <c r="R20" s="35"/>
      <c r="S20" s="17"/>
      <c r="T20" s="17"/>
    </row>
    <row r="21" spans="2:20" ht="15" thickBot="1" x14ac:dyDescent="0.4">
      <c r="B21" s="25" t="s">
        <v>33</v>
      </c>
      <c r="C21" s="28">
        <f>C20*B24</f>
        <v>7.1020000000000003</v>
      </c>
      <c r="D21" s="27">
        <f>D20*B24</f>
        <v>0.21200000000000002</v>
      </c>
      <c r="E21" s="28"/>
      <c r="F21" s="23"/>
      <c r="G21" s="24"/>
      <c r="H21" s="46" t="s">
        <v>38</v>
      </c>
      <c r="I21" s="45">
        <v>210300</v>
      </c>
      <c r="J21" s="48">
        <v>11600000</v>
      </c>
      <c r="K21" s="48"/>
      <c r="L21" s="48"/>
      <c r="M21" s="48"/>
      <c r="N21" s="48"/>
      <c r="O21" s="41"/>
      <c r="P21" s="41"/>
      <c r="Q21" s="42"/>
      <c r="R21" s="35"/>
      <c r="S21" s="17"/>
      <c r="T21" s="17"/>
    </row>
    <row r="22" spans="2:20" ht="29.5" thickBot="1" x14ac:dyDescent="0.4">
      <c r="B22" s="26" t="s">
        <v>34</v>
      </c>
      <c r="C22" s="68">
        <f>C20-C21</f>
        <v>6.298</v>
      </c>
      <c r="D22" s="69">
        <f>D20-D21</f>
        <v>0.188</v>
      </c>
      <c r="E22" s="24"/>
      <c r="F22" s="24"/>
      <c r="G22" s="24"/>
      <c r="H22" s="56" t="s">
        <v>26</v>
      </c>
      <c r="I22" s="67" t="s">
        <v>31</v>
      </c>
      <c r="J22" s="57" t="s">
        <v>30</v>
      </c>
      <c r="K22" s="73" t="s">
        <v>39</v>
      </c>
      <c r="L22" s="74" t="s">
        <v>61</v>
      </c>
      <c r="M22" s="75" t="s">
        <v>60</v>
      </c>
      <c r="N22" s="52"/>
      <c r="O22" s="41"/>
      <c r="P22" s="41"/>
      <c r="Q22" s="42"/>
      <c r="R22" s="35"/>
      <c r="S22" s="17"/>
      <c r="T22" s="17"/>
    </row>
    <row r="23" spans="2:20" x14ac:dyDescent="0.35">
      <c r="B23" s="24"/>
      <c r="C23" s="24"/>
      <c r="D23" s="28"/>
      <c r="E23" s="28"/>
      <c r="F23" s="24"/>
      <c r="G23" s="24"/>
      <c r="H23" s="244">
        <v>2027</v>
      </c>
      <c r="I23" s="245">
        <f>I21*C28</f>
        <v>1324469.3999999999</v>
      </c>
      <c r="J23" s="246">
        <f>J21*D28</f>
        <v>2180800</v>
      </c>
      <c r="K23" s="228">
        <f>SUM(I23:J23)</f>
        <v>3505269.4</v>
      </c>
      <c r="L23" s="185">
        <v>7</v>
      </c>
      <c r="M23" s="186">
        <f>K23/(1.07^L23)</f>
        <v>2182905.6140859555</v>
      </c>
      <c r="N23" s="52"/>
      <c r="O23" s="41"/>
      <c r="P23" s="41"/>
      <c r="Q23" s="42"/>
      <c r="R23" s="35"/>
      <c r="S23" s="17"/>
      <c r="T23" s="17"/>
    </row>
    <row r="24" spans="2:20" x14ac:dyDescent="0.35">
      <c r="B24" s="32">
        <v>0.53</v>
      </c>
      <c r="C24" s="28" t="s">
        <v>35</v>
      </c>
      <c r="D24" s="28"/>
      <c r="E24" s="28"/>
      <c r="F24" s="24"/>
      <c r="G24" s="24"/>
      <c r="H24" s="184">
        <v>2028</v>
      </c>
      <c r="I24" s="228">
        <v>1324469.3999999999</v>
      </c>
      <c r="J24" s="186">
        <v>2180800</v>
      </c>
      <c r="K24" s="228">
        <v>3505269.4</v>
      </c>
      <c r="L24" s="185">
        <v>8</v>
      </c>
      <c r="M24" s="186">
        <f>K24/(1.07^L24)</f>
        <v>2040098.7047532294</v>
      </c>
      <c r="N24" s="52"/>
      <c r="O24" s="41"/>
      <c r="P24" s="41"/>
      <c r="Q24" s="42"/>
      <c r="R24" s="35"/>
      <c r="S24" s="17"/>
      <c r="T24" s="17"/>
    </row>
    <row r="25" spans="2:20" x14ac:dyDescent="0.35">
      <c r="B25" s="24"/>
      <c r="C25" s="24"/>
      <c r="D25" s="24"/>
      <c r="E25" s="24"/>
      <c r="F25" s="24"/>
      <c r="G25" s="24"/>
      <c r="H25" s="184">
        <v>2029</v>
      </c>
      <c r="I25" s="228">
        <v>1324469.3999999999</v>
      </c>
      <c r="J25" s="186">
        <v>2180800</v>
      </c>
      <c r="K25" s="228">
        <v>3505269.4</v>
      </c>
      <c r="L25" s="185">
        <v>9</v>
      </c>
      <c r="M25" s="186">
        <f t="shared" ref="M25:M42" si="0">K25/(1.07^L25)</f>
        <v>1906634.3035076908</v>
      </c>
      <c r="N25" s="52"/>
      <c r="O25" s="41"/>
      <c r="P25" s="41"/>
      <c r="Q25" s="42"/>
      <c r="R25" s="35"/>
      <c r="S25" s="17"/>
      <c r="T25" s="17"/>
    </row>
    <row r="26" spans="2:20" ht="15" thickBot="1" x14ac:dyDescent="0.4">
      <c r="B26" s="1" t="s">
        <v>37</v>
      </c>
      <c r="C26" s="24"/>
      <c r="D26" s="24"/>
      <c r="E26" s="24"/>
      <c r="F26" s="24"/>
      <c r="G26" s="24"/>
      <c r="H26" s="184">
        <v>2030</v>
      </c>
      <c r="I26" s="228">
        <v>1324469.3999999999</v>
      </c>
      <c r="J26" s="186">
        <v>2180800</v>
      </c>
      <c r="K26" s="228">
        <v>3505269.4</v>
      </c>
      <c r="L26" s="185">
        <v>10</v>
      </c>
      <c r="M26" s="186">
        <f t="shared" si="0"/>
        <v>1781901.2182314869</v>
      </c>
      <c r="N26" s="52"/>
      <c r="O26" s="41"/>
      <c r="P26" s="41"/>
      <c r="Q26" s="42"/>
      <c r="R26" s="35"/>
      <c r="S26" s="17"/>
      <c r="T26" s="17"/>
    </row>
    <row r="27" spans="2:20" ht="15" thickBot="1" x14ac:dyDescent="0.4">
      <c r="B27" s="49" t="s">
        <v>26</v>
      </c>
      <c r="C27" s="50" t="s">
        <v>31</v>
      </c>
      <c r="D27" s="51" t="s">
        <v>30</v>
      </c>
      <c r="E27" s="28"/>
      <c r="F27" s="24"/>
      <c r="G27" s="24"/>
      <c r="H27" s="184">
        <v>2031</v>
      </c>
      <c r="I27" s="228">
        <v>1324469.3999999999</v>
      </c>
      <c r="J27" s="186">
        <v>2180800</v>
      </c>
      <c r="K27" s="228">
        <v>3505269.4</v>
      </c>
      <c r="L27" s="185">
        <v>11</v>
      </c>
      <c r="M27" s="186">
        <f t="shared" si="0"/>
        <v>1665328.2413378381</v>
      </c>
      <c r="N27" s="52"/>
      <c r="O27" s="41"/>
      <c r="P27" s="41"/>
      <c r="Q27" s="42"/>
      <c r="R27" s="35"/>
      <c r="S27" s="17"/>
      <c r="T27" s="17"/>
    </row>
    <row r="28" spans="2:20" x14ac:dyDescent="0.35">
      <c r="B28" s="56">
        <v>2027</v>
      </c>
      <c r="C28" s="67">
        <f>C22</f>
        <v>6.298</v>
      </c>
      <c r="D28" s="57">
        <v>0.188</v>
      </c>
      <c r="E28" s="28"/>
      <c r="F28" s="24"/>
      <c r="G28" s="24"/>
      <c r="H28" s="184">
        <v>2032</v>
      </c>
      <c r="I28" s="228">
        <v>1324469.3999999999</v>
      </c>
      <c r="J28" s="186">
        <v>2180800</v>
      </c>
      <c r="K28" s="228">
        <v>3505269.4</v>
      </c>
      <c r="L28" s="185">
        <v>12</v>
      </c>
      <c r="M28" s="186">
        <f t="shared" si="0"/>
        <v>1556381.5339605967</v>
      </c>
      <c r="N28" s="52"/>
      <c r="O28" s="41"/>
      <c r="P28" s="41"/>
      <c r="Q28" s="42"/>
      <c r="R28" s="35"/>
      <c r="S28" s="17"/>
      <c r="T28" s="17"/>
    </row>
    <row r="29" spans="2:20" x14ac:dyDescent="0.35">
      <c r="B29" s="7">
        <v>2028</v>
      </c>
      <c r="C29" s="28">
        <v>6.298</v>
      </c>
      <c r="D29" s="27">
        <v>0.188</v>
      </c>
      <c r="E29" s="28"/>
      <c r="F29" s="24"/>
      <c r="G29" s="24"/>
      <c r="H29" s="184">
        <v>2033</v>
      </c>
      <c r="I29" s="228">
        <v>1324469.3999999999</v>
      </c>
      <c r="J29" s="186">
        <v>2180800</v>
      </c>
      <c r="K29" s="228">
        <v>3505269.4</v>
      </c>
      <c r="L29" s="185">
        <v>13</v>
      </c>
      <c r="M29" s="186">
        <f t="shared" si="0"/>
        <v>1454562.1812715854</v>
      </c>
      <c r="N29" s="52"/>
      <c r="O29" s="41"/>
      <c r="P29" s="41"/>
      <c r="Q29" s="42"/>
      <c r="R29" s="35"/>
      <c r="S29" s="17"/>
      <c r="T29" s="17"/>
    </row>
    <row r="30" spans="2:20" x14ac:dyDescent="0.35">
      <c r="B30" s="7">
        <v>2029</v>
      </c>
      <c r="C30" s="28">
        <v>6.298</v>
      </c>
      <c r="D30" s="27">
        <v>0.188</v>
      </c>
      <c r="E30" s="28"/>
      <c r="F30" s="24"/>
      <c r="G30" s="24"/>
      <c r="H30" s="184">
        <v>2034</v>
      </c>
      <c r="I30" s="228">
        <v>1324469.3999999999</v>
      </c>
      <c r="J30" s="186">
        <v>2180800</v>
      </c>
      <c r="K30" s="228">
        <v>3505269.4</v>
      </c>
      <c r="L30" s="185">
        <v>14</v>
      </c>
      <c r="M30" s="186">
        <f t="shared" si="0"/>
        <v>1359403.9077304539</v>
      </c>
      <c r="N30" s="52"/>
      <c r="O30" s="41"/>
      <c r="P30" s="41"/>
      <c r="Q30" s="42"/>
      <c r="R30" s="35"/>
      <c r="S30" s="17"/>
      <c r="T30" s="17"/>
    </row>
    <row r="31" spans="2:20" x14ac:dyDescent="0.35">
      <c r="B31" s="7">
        <v>2030</v>
      </c>
      <c r="C31" s="28">
        <v>6.298</v>
      </c>
      <c r="D31" s="27">
        <v>0.188</v>
      </c>
      <c r="E31" s="28"/>
      <c r="F31" s="24"/>
      <c r="G31" s="24"/>
      <c r="H31" s="184">
        <v>2035</v>
      </c>
      <c r="I31" s="228">
        <v>1324469.3999999999</v>
      </c>
      <c r="J31" s="186">
        <v>2180800</v>
      </c>
      <c r="K31" s="228">
        <v>3505269.4</v>
      </c>
      <c r="L31" s="185">
        <v>15</v>
      </c>
      <c r="M31" s="186">
        <f t="shared" si="0"/>
        <v>1270470.9418041622</v>
      </c>
      <c r="N31" s="52"/>
      <c r="O31" s="41"/>
      <c r="P31" s="41"/>
      <c r="Q31" s="42"/>
      <c r="R31" s="35"/>
      <c r="S31" s="17"/>
      <c r="T31" s="17"/>
    </row>
    <row r="32" spans="2:20" x14ac:dyDescent="0.35">
      <c r="B32" s="7">
        <v>2031</v>
      </c>
      <c r="C32" s="28">
        <v>6.298</v>
      </c>
      <c r="D32" s="27">
        <v>0.188</v>
      </c>
      <c r="E32" s="28"/>
      <c r="F32" s="24"/>
      <c r="G32" s="24"/>
      <c r="H32" s="184">
        <v>2036</v>
      </c>
      <c r="I32" s="228">
        <v>1324469.3999999999</v>
      </c>
      <c r="J32" s="186">
        <v>2180800</v>
      </c>
      <c r="K32" s="228">
        <v>3505269.4</v>
      </c>
      <c r="L32" s="185">
        <v>16</v>
      </c>
      <c r="M32" s="186">
        <f t="shared" si="0"/>
        <v>1187356.0203777219</v>
      </c>
      <c r="N32" s="52"/>
      <c r="O32" s="41"/>
      <c r="P32" s="41"/>
      <c r="Q32" s="42"/>
      <c r="R32" s="35"/>
      <c r="S32" s="17"/>
      <c r="T32" s="17"/>
    </row>
    <row r="33" spans="2:20" x14ac:dyDescent="0.35">
      <c r="B33" s="7">
        <v>2032</v>
      </c>
      <c r="C33" s="28">
        <v>6.298</v>
      </c>
      <c r="D33" s="27">
        <v>0.188</v>
      </c>
      <c r="E33" s="28"/>
      <c r="F33" s="24"/>
      <c r="G33" s="24"/>
      <c r="H33" s="184">
        <v>2037</v>
      </c>
      <c r="I33" s="228">
        <v>1324469.3999999999</v>
      </c>
      <c r="J33" s="186">
        <v>2180800</v>
      </c>
      <c r="K33" s="228">
        <v>3505269.4</v>
      </c>
      <c r="L33" s="185">
        <v>17</v>
      </c>
      <c r="M33" s="186">
        <f t="shared" si="0"/>
        <v>1109678.523717497</v>
      </c>
      <c r="N33" s="52"/>
      <c r="O33" s="41"/>
      <c r="P33" s="41"/>
      <c r="Q33" s="42"/>
      <c r="R33" s="35"/>
      <c r="S33" s="17"/>
      <c r="T33" s="17"/>
    </row>
    <row r="34" spans="2:20" x14ac:dyDescent="0.35">
      <c r="B34" s="7">
        <v>2033</v>
      </c>
      <c r="C34" s="28">
        <v>6.298</v>
      </c>
      <c r="D34" s="27">
        <v>0.188</v>
      </c>
      <c r="E34" s="28"/>
      <c r="F34" s="24"/>
      <c r="G34" s="24"/>
      <c r="H34" s="184">
        <v>2038</v>
      </c>
      <c r="I34" s="228">
        <v>1324469.3999999999</v>
      </c>
      <c r="J34" s="186">
        <v>2180800</v>
      </c>
      <c r="K34" s="228">
        <v>3505269.4</v>
      </c>
      <c r="L34" s="185">
        <v>18</v>
      </c>
      <c r="M34" s="186">
        <f t="shared" si="0"/>
        <v>1037082.732446259</v>
      </c>
      <c r="N34" s="52"/>
      <c r="O34" s="41"/>
      <c r="P34" s="41"/>
      <c r="Q34" s="42"/>
      <c r="R34" s="35"/>
      <c r="S34" s="17"/>
      <c r="T34" s="17"/>
    </row>
    <row r="35" spans="2:20" x14ac:dyDescent="0.35">
      <c r="B35" s="7">
        <v>2034</v>
      </c>
      <c r="C35" s="28">
        <v>6.298</v>
      </c>
      <c r="D35" s="27">
        <v>0.188</v>
      </c>
      <c r="E35" s="28"/>
      <c r="F35" s="24"/>
      <c r="G35" s="24"/>
      <c r="H35" s="184">
        <v>2039</v>
      </c>
      <c r="I35" s="228">
        <v>1324469.3999999999</v>
      </c>
      <c r="J35" s="186">
        <v>2180800</v>
      </c>
      <c r="K35" s="228">
        <v>3505269.4</v>
      </c>
      <c r="L35" s="185">
        <v>19</v>
      </c>
      <c r="M35" s="186">
        <f t="shared" si="0"/>
        <v>969236.19854790554</v>
      </c>
      <c r="N35" s="52"/>
      <c r="O35" s="41"/>
      <c r="P35" s="41"/>
      <c r="Q35" s="42"/>
      <c r="R35" s="35"/>
      <c r="S35" s="17"/>
      <c r="T35" s="17"/>
    </row>
    <row r="36" spans="2:20" x14ac:dyDescent="0.35">
      <c r="B36" s="7">
        <v>2035</v>
      </c>
      <c r="C36" s="28">
        <v>6.298</v>
      </c>
      <c r="D36" s="27">
        <v>0.188</v>
      </c>
      <c r="E36" s="28"/>
      <c r="F36" s="24"/>
      <c r="G36" s="24"/>
      <c r="H36" s="184">
        <v>2040</v>
      </c>
      <c r="I36" s="228">
        <v>1324469.3999999999</v>
      </c>
      <c r="J36" s="186">
        <v>2180800</v>
      </c>
      <c r="K36" s="228">
        <v>3505269.4</v>
      </c>
      <c r="L36" s="185">
        <v>20</v>
      </c>
      <c r="M36" s="186">
        <f t="shared" si="0"/>
        <v>905828.22294196778</v>
      </c>
      <c r="N36" s="29"/>
      <c r="O36" s="37"/>
      <c r="P36" s="36"/>
      <c r="Q36" s="38"/>
      <c r="R36" s="43"/>
      <c r="S36" s="17"/>
      <c r="T36" s="17"/>
    </row>
    <row r="37" spans="2:20" x14ac:dyDescent="0.35">
      <c r="B37" s="7">
        <v>2036</v>
      </c>
      <c r="C37" s="28">
        <v>6.298</v>
      </c>
      <c r="D37" s="27">
        <v>0.188</v>
      </c>
      <c r="E37" s="28"/>
      <c r="F37" s="24"/>
      <c r="G37" s="24"/>
      <c r="H37" s="184">
        <v>2041</v>
      </c>
      <c r="I37" s="228">
        <v>1324469.3999999999</v>
      </c>
      <c r="J37" s="186">
        <v>2180800</v>
      </c>
      <c r="K37" s="228">
        <v>3505269.4</v>
      </c>
      <c r="L37" s="185">
        <v>21</v>
      </c>
      <c r="M37" s="186">
        <f t="shared" si="0"/>
        <v>846568.43265604461</v>
      </c>
      <c r="N37" s="29"/>
      <c r="O37" s="17"/>
      <c r="P37" s="17"/>
      <c r="Q37" s="17"/>
      <c r="R37" s="17"/>
      <c r="S37" s="17"/>
      <c r="T37" s="17"/>
    </row>
    <row r="38" spans="2:20" x14ac:dyDescent="0.35">
      <c r="B38" s="7">
        <v>2037</v>
      </c>
      <c r="C38" s="28">
        <v>6.298</v>
      </c>
      <c r="D38" s="27">
        <v>0.188</v>
      </c>
      <c r="E38" s="28"/>
      <c r="F38" s="24"/>
      <c r="G38" s="24"/>
      <c r="H38" s="184">
        <v>2042</v>
      </c>
      <c r="I38" s="228">
        <v>1324469.3999999999</v>
      </c>
      <c r="J38" s="186">
        <v>2180800</v>
      </c>
      <c r="K38" s="228">
        <v>3505269.4</v>
      </c>
      <c r="L38" s="185">
        <v>22</v>
      </c>
      <c r="M38" s="186">
        <f t="shared" si="0"/>
        <v>791185.45108041551</v>
      </c>
      <c r="N38" s="29"/>
      <c r="O38" s="17"/>
      <c r="P38" s="17"/>
      <c r="Q38" s="17"/>
      <c r="R38" s="17"/>
      <c r="S38" s="17"/>
      <c r="T38" s="17"/>
    </row>
    <row r="39" spans="2:20" x14ac:dyDescent="0.35">
      <c r="B39" s="7">
        <v>2038</v>
      </c>
      <c r="C39" s="28">
        <v>6.298</v>
      </c>
      <c r="D39" s="27">
        <v>0.188</v>
      </c>
      <c r="E39" s="28"/>
      <c r="F39" s="24"/>
      <c r="G39" s="24"/>
      <c r="H39" s="184">
        <v>2043</v>
      </c>
      <c r="I39" s="228">
        <v>1324469.3999999999</v>
      </c>
      <c r="J39" s="186">
        <v>2180800</v>
      </c>
      <c r="K39" s="228">
        <v>3505269.4</v>
      </c>
      <c r="L39" s="185">
        <v>23</v>
      </c>
      <c r="M39" s="186">
        <f t="shared" si="0"/>
        <v>739425.6552153416</v>
      </c>
      <c r="N39" s="29"/>
      <c r="O39" s="17"/>
      <c r="P39" s="17"/>
      <c r="Q39" s="17"/>
      <c r="R39" s="17"/>
      <c r="S39" s="17"/>
      <c r="T39" s="17"/>
    </row>
    <row r="40" spans="2:20" x14ac:dyDescent="0.35">
      <c r="B40" s="7">
        <v>2039</v>
      </c>
      <c r="C40" s="28">
        <v>6.298</v>
      </c>
      <c r="D40" s="27">
        <v>0.188</v>
      </c>
      <c r="E40" s="28"/>
      <c r="F40" s="24"/>
      <c r="G40" s="24"/>
      <c r="H40" s="184">
        <v>2044</v>
      </c>
      <c r="I40" s="228">
        <v>1324469.3999999999</v>
      </c>
      <c r="J40" s="186">
        <v>2180800</v>
      </c>
      <c r="K40" s="228">
        <v>3505269.4</v>
      </c>
      <c r="L40" s="185">
        <v>24</v>
      </c>
      <c r="M40" s="186">
        <f t="shared" si="0"/>
        <v>691052.01421994541</v>
      </c>
      <c r="N40" s="24"/>
    </row>
    <row r="41" spans="2:20" x14ac:dyDescent="0.35">
      <c r="B41" s="7">
        <v>2040</v>
      </c>
      <c r="C41" s="28">
        <v>6.298</v>
      </c>
      <c r="D41" s="27">
        <v>0.188</v>
      </c>
      <c r="E41" s="28"/>
      <c r="F41" s="24"/>
      <c r="G41" s="24"/>
      <c r="H41" s="184">
        <v>2045</v>
      </c>
      <c r="I41" s="228">
        <v>1324469.3999999999</v>
      </c>
      <c r="J41" s="186">
        <v>2180800</v>
      </c>
      <c r="K41" s="228">
        <v>3505269.4</v>
      </c>
      <c r="L41" s="185">
        <v>25</v>
      </c>
      <c r="M41" s="186">
        <f t="shared" si="0"/>
        <v>645843.00394387415</v>
      </c>
      <c r="N41" s="24"/>
    </row>
    <row r="42" spans="2:20" ht="15" thickBot="1" x14ac:dyDescent="0.4">
      <c r="B42" s="7">
        <v>2041</v>
      </c>
      <c r="C42" s="28">
        <v>6.298</v>
      </c>
      <c r="D42" s="27">
        <v>0.188</v>
      </c>
      <c r="E42" s="28"/>
      <c r="F42" s="24"/>
      <c r="G42" s="24"/>
      <c r="H42" s="187">
        <v>2046</v>
      </c>
      <c r="I42" s="229">
        <v>1324469.3999999999</v>
      </c>
      <c r="J42" s="188">
        <v>2180800</v>
      </c>
      <c r="K42" s="228">
        <v>3505269.4</v>
      </c>
      <c r="L42" s="185">
        <v>26</v>
      </c>
      <c r="M42" s="186">
        <f t="shared" si="0"/>
        <v>603591.59247091052</v>
      </c>
      <c r="N42" s="24"/>
    </row>
    <row r="43" spans="2:20" ht="15" thickBot="1" x14ac:dyDescent="0.4">
      <c r="B43" s="7">
        <v>2042</v>
      </c>
      <c r="C43" s="28">
        <v>6.298</v>
      </c>
      <c r="D43" s="27">
        <v>0.188</v>
      </c>
      <c r="E43" s="28"/>
      <c r="F43" s="24"/>
      <c r="G43" s="24"/>
      <c r="H43" s="29"/>
      <c r="I43" s="52"/>
      <c r="J43" s="52"/>
      <c r="K43" s="243">
        <f>SUM(K23:K42)</f>
        <v>70105387.999999985</v>
      </c>
      <c r="L43" s="50"/>
      <c r="M43" s="72">
        <f>SUM(M23:M42)</f>
        <v>24744534.494300891</v>
      </c>
      <c r="N43" s="24"/>
    </row>
    <row r="44" spans="2:20" x14ac:dyDescent="0.35">
      <c r="B44" s="7">
        <v>2043</v>
      </c>
      <c r="C44" s="28">
        <v>6.298</v>
      </c>
      <c r="D44" s="27">
        <v>0.188</v>
      </c>
      <c r="E44" s="28"/>
      <c r="F44" s="24"/>
      <c r="G44" s="24"/>
      <c r="H44" s="24"/>
      <c r="I44" s="230"/>
      <c r="J44" s="230"/>
      <c r="N44" s="24"/>
    </row>
    <row r="45" spans="2:20" x14ac:dyDescent="0.35">
      <c r="B45" s="7">
        <v>2044</v>
      </c>
      <c r="C45" s="28">
        <v>6.298</v>
      </c>
      <c r="D45" s="27">
        <v>0.188</v>
      </c>
      <c r="E45" s="28"/>
      <c r="F45" s="24"/>
      <c r="G45" s="24"/>
      <c r="H45" s="24"/>
      <c r="I45" s="24"/>
      <c r="J45" s="24"/>
      <c r="K45" s="24"/>
      <c r="L45" s="24"/>
      <c r="M45" s="24"/>
      <c r="N45" s="24"/>
    </row>
    <row r="46" spans="2:20" x14ac:dyDescent="0.35">
      <c r="B46" s="7">
        <v>2045</v>
      </c>
      <c r="C46" s="28">
        <v>6.298</v>
      </c>
      <c r="D46" s="27">
        <v>0.188</v>
      </c>
      <c r="E46" s="28"/>
      <c r="F46" s="24"/>
      <c r="G46" s="24"/>
      <c r="H46" s="24"/>
      <c r="I46" s="24"/>
      <c r="J46" s="24"/>
      <c r="K46" s="24"/>
      <c r="L46" s="24"/>
      <c r="M46" s="24"/>
      <c r="N46" s="24"/>
    </row>
    <row r="47" spans="2:20" ht="15" thickBot="1" x14ac:dyDescent="0.4">
      <c r="B47" s="53">
        <v>2046</v>
      </c>
      <c r="C47" s="68">
        <v>6.298</v>
      </c>
      <c r="D47" s="69">
        <v>0.188</v>
      </c>
      <c r="E47" s="28"/>
      <c r="F47" s="24"/>
      <c r="G47" s="24"/>
      <c r="H47" s="24"/>
      <c r="I47" s="24"/>
      <c r="J47" s="24"/>
      <c r="K47" s="24"/>
      <c r="L47" s="24"/>
      <c r="M47" s="24"/>
      <c r="N47" s="24"/>
    </row>
    <row r="48" spans="2:20" x14ac:dyDescent="0.35"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2:14" x14ac:dyDescent="0.35"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</sheetData>
  <mergeCells count="2">
    <mergeCell ref="C10:D10"/>
    <mergeCell ref="E10:F10"/>
  </mergeCell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8E89F-1621-47F0-92CA-EFACC877A7B0}">
  <sheetPr>
    <tabColor theme="9"/>
  </sheetPr>
  <dimension ref="B2:I31"/>
  <sheetViews>
    <sheetView workbookViewId="0">
      <selection activeCell="D4" sqref="D4"/>
    </sheetView>
  </sheetViews>
  <sheetFormatPr defaultRowHeight="14.5" x14ac:dyDescent="0.35"/>
  <cols>
    <col min="2" max="2" width="49.08984375" customWidth="1"/>
    <col min="3" max="3" width="27.54296875" bestFit="1" customWidth="1"/>
    <col min="4" max="4" width="12.54296875" bestFit="1" customWidth="1"/>
    <col min="5" max="5" width="16.54296875" bestFit="1" customWidth="1"/>
    <col min="6" max="6" width="16.54296875" customWidth="1"/>
    <col min="8" max="8" width="12" bestFit="1" customWidth="1"/>
  </cols>
  <sheetData>
    <row r="2" spans="2:8" ht="23.5" x14ac:dyDescent="0.55000000000000004">
      <c r="B2" s="122" t="str">
        <f>'Title Sheet'!B2</f>
        <v>Benefit-Cost Analysis Spreadsheet for the Englewood Line</v>
      </c>
      <c r="C2" s="24"/>
      <c r="D2" t="s">
        <v>41</v>
      </c>
      <c r="E2" t="s">
        <v>143</v>
      </c>
    </row>
    <row r="3" spans="2:8" ht="15" thickBot="1" x14ac:dyDescent="0.4">
      <c r="B3" s="1"/>
      <c r="C3" s="24"/>
    </row>
    <row r="4" spans="2:8" ht="15" thickBot="1" x14ac:dyDescent="0.4">
      <c r="B4" s="1" t="s">
        <v>46</v>
      </c>
      <c r="C4" s="24" t="s">
        <v>49</v>
      </c>
      <c r="D4" s="114">
        <f>C15</f>
        <v>441976.144852</v>
      </c>
      <c r="E4" s="232">
        <v>275240.53012572962</v>
      </c>
      <c r="F4" s="13"/>
    </row>
    <row r="5" spans="2:8" x14ac:dyDescent="0.35">
      <c r="B5" s="1"/>
    </row>
    <row r="6" spans="2:8" x14ac:dyDescent="0.35">
      <c r="B6" s="24" t="s">
        <v>47</v>
      </c>
    </row>
    <row r="7" spans="2:8" x14ac:dyDescent="0.35">
      <c r="B7" s="24" t="s">
        <v>48</v>
      </c>
    </row>
    <row r="8" spans="2:8" x14ac:dyDescent="0.35">
      <c r="B8" s="2" t="s">
        <v>54</v>
      </c>
    </row>
    <row r="9" spans="2:8" ht="15" thickBot="1" x14ac:dyDescent="0.4"/>
    <row r="10" spans="2:8" ht="43.5" x14ac:dyDescent="0.35">
      <c r="B10" s="18" t="s">
        <v>28</v>
      </c>
      <c r="C10" s="19"/>
      <c r="E10" s="175" t="s">
        <v>26</v>
      </c>
      <c r="F10" s="175" t="s">
        <v>145</v>
      </c>
      <c r="G10" s="180" t="s">
        <v>147</v>
      </c>
      <c r="H10" s="176" t="s">
        <v>144</v>
      </c>
    </row>
    <row r="11" spans="2:8" ht="36" customHeight="1" x14ac:dyDescent="0.35">
      <c r="B11" s="274" t="s">
        <v>44</v>
      </c>
      <c r="C11" s="275"/>
      <c r="E11" s="177">
        <v>2027</v>
      </c>
      <c r="F11" s="179">
        <f>C13</f>
        <v>129992983.78</v>
      </c>
      <c r="G11" s="181">
        <v>3.3999999999999998E-3</v>
      </c>
      <c r="H11" s="216">
        <f>G11*F11</f>
        <v>441976.144852</v>
      </c>
    </row>
    <row r="12" spans="2:8" x14ac:dyDescent="0.35">
      <c r="B12" s="21" t="s">
        <v>45</v>
      </c>
      <c r="C12" s="20">
        <v>107432218</v>
      </c>
      <c r="E12" s="177">
        <v>2028</v>
      </c>
      <c r="F12" s="179" t="s">
        <v>146</v>
      </c>
      <c r="G12" s="181">
        <v>3.3999999999999998E-3</v>
      </c>
      <c r="H12" s="216">
        <v>0</v>
      </c>
    </row>
    <row r="13" spans="2:8" x14ac:dyDescent="0.35">
      <c r="B13" s="84" t="s">
        <v>65</v>
      </c>
      <c r="C13" s="231">
        <f>(0.03*7)*(C12)+C12</f>
        <v>129992983.78</v>
      </c>
      <c r="E13" s="177">
        <v>2029</v>
      </c>
      <c r="F13" s="179" t="s">
        <v>146</v>
      </c>
      <c r="G13" s="181">
        <v>3.3999999999999998E-3</v>
      </c>
      <c r="H13" s="216">
        <v>0</v>
      </c>
    </row>
    <row r="14" spans="2:8" x14ac:dyDescent="0.35">
      <c r="B14" s="21" t="s">
        <v>29</v>
      </c>
      <c r="C14" s="22">
        <v>3.3999999999999998E-3</v>
      </c>
      <c r="E14" s="177">
        <v>2030</v>
      </c>
      <c r="F14" s="179" t="s">
        <v>146</v>
      </c>
      <c r="G14" s="181">
        <v>3.3999999999999998E-3</v>
      </c>
      <c r="H14" s="216">
        <v>0</v>
      </c>
    </row>
    <row r="15" spans="2:8" ht="29.5" thickBot="1" x14ac:dyDescent="0.4">
      <c r="B15" s="85" t="s">
        <v>66</v>
      </c>
      <c r="C15" s="86">
        <f>H31</f>
        <v>441976.144852</v>
      </c>
      <c r="E15" s="177">
        <v>2031</v>
      </c>
      <c r="F15" s="179" t="s">
        <v>146</v>
      </c>
      <c r="G15" s="181">
        <v>3.3999999999999998E-3</v>
      </c>
      <c r="H15" s="216">
        <v>0</v>
      </c>
    </row>
    <row r="16" spans="2:8" ht="15" thickBot="1" x14ac:dyDescent="0.4">
      <c r="B16" s="78" t="s">
        <v>70</v>
      </c>
      <c r="C16" s="77">
        <f>C15/(1.07^7)</f>
        <v>275240.53012572962</v>
      </c>
      <c r="E16" s="177">
        <v>2032</v>
      </c>
      <c r="F16" s="179" t="s">
        <v>146</v>
      </c>
      <c r="G16" s="181">
        <v>3.3999999999999998E-3</v>
      </c>
      <c r="H16" s="216">
        <v>0</v>
      </c>
    </row>
    <row r="17" spans="2:9" x14ac:dyDescent="0.35">
      <c r="E17" s="177">
        <v>2033</v>
      </c>
      <c r="F17" s="179" t="s">
        <v>146</v>
      </c>
      <c r="G17" s="181">
        <v>3.3999999999999998E-3</v>
      </c>
      <c r="H17" s="216">
        <v>0</v>
      </c>
    </row>
    <row r="18" spans="2:9" x14ac:dyDescent="0.35">
      <c r="E18" s="177">
        <v>2034</v>
      </c>
      <c r="F18" s="179" t="s">
        <v>146</v>
      </c>
      <c r="G18" s="181">
        <v>3.3999999999999998E-3</v>
      </c>
      <c r="H18" s="216">
        <v>0</v>
      </c>
    </row>
    <row r="19" spans="2:9" x14ac:dyDescent="0.35">
      <c r="E19" s="177">
        <v>2035</v>
      </c>
      <c r="F19" s="179" t="s">
        <v>146</v>
      </c>
      <c r="G19" s="181">
        <v>3.3999999999999998E-3</v>
      </c>
      <c r="H19" s="216">
        <v>0</v>
      </c>
    </row>
    <row r="20" spans="2:9" x14ac:dyDescent="0.35">
      <c r="B20" s="24"/>
      <c r="C20" s="4"/>
      <c r="E20" s="177">
        <v>2036</v>
      </c>
      <c r="F20" s="179" t="s">
        <v>146</v>
      </c>
      <c r="G20" s="181">
        <v>3.3999999999999998E-3</v>
      </c>
      <c r="H20" s="216">
        <v>0</v>
      </c>
    </row>
    <row r="21" spans="2:9" x14ac:dyDescent="0.35">
      <c r="E21" s="177">
        <v>2037</v>
      </c>
      <c r="F21" s="179" t="s">
        <v>146</v>
      </c>
      <c r="G21" s="181">
        <v>3.3999999999999998E-3</v>
      </c>
      <c r="H21" s="216">
        <v>0</v>
      </c>
    </row>
    <row r="22" spans="2:9" x14ac:dyDescent="0.35">
      <c r="E22" s="177">
        <v>2038</v>
      </c>
      <c r="F22" s="179" t="s">
        <v>146</v>
      </c>
      <c r="G22" s="181">
        <v>3.3999999999999998E-3</v>
      </c>
      <c r="H22" s="216">
        <v>0</v>
      </c>
    </row>
    <row r="23" spans="2:9" x14ac:dyDescent="0.35">
      <c r="E23" s="177">
        <v>2039</v>
      </c>
      <c r="F23" s="179" t="s">
        <v>146</v>
      </c>
      <c r="G23" s="181">
        <v>3.3999999999999998E-3</v>
      </c>
      <c r="H23" s="216">
        <v>0</v>
      </c>
    </row>
    <row r="24" spans="2:9" x14ac:dyDescent="0.35">
      <c r="E24" s="177">
        <v>2040</v>
      </c>
      <c r="F24" s="179" t="s">
        <v>146</v>
      </c>
      <c r="G24" s="181">
        <v>3.3999999999999998E-3</v>
      </c>
      <c r="H24" s="216">
        <v>0</v>
      </c>
    </row>
    <row r="25" spans="2:9" x14ac:dyDescent="0.35">
      <c r="E25" s="177">
        <v>2041</v>
      </c>
      <c r="F25" s="179" t="s">
        <v>146</v>
      </c>
      <c r="G25" s="181">
        <v>3.3999999999999998E-3</v>
      </c>
      <c r="H25" s="216">
        <v>0</v>
      </c>
    </row>
    <row r="26" spans="2:9" x14ac:dyDescent="0.35">
      <c r="E26" s="177">
        <v>2042</v>
      </c>
      <c r="F26" s="179" t="s">
        <v>146</v>
      </c>
      <c r="G26" s="181">
        <v>3.3999999999999998E-3</v>
      </c>
      <c r="H26" s="216">
        <v>0</v>
      </c>
    </row>
    <row r="27" spans="2:9" x14ac:dyDescent="0.35">
      <c r="E27" s="177">
        <v>2043</v>
      </c>
      <c r="F27" s="179" t="s">
        <v>146</v>
      </c>
      <c r="G27" s="181">
        <v>3.3999999999999998E-3</v>
      </c>
      <c r="H27" s="216">
        <v>0</v>
      </c>
    </row>
    <row r="28" spans="2:9" x14ac:dyDescent="0.35">
      <c r="E28" s="177">
        <v>2044</v>
      </c>
      <c r="F28" s="179" t="s">
        <v>146</v>
      </c>
      <c r="G28" s="181">
        <v>3.3999999999999998E-3</v>
      </c>
      <c r="H28" s="216">
        <v>0</v>
      </c>
    </row>
    <row r="29" spans="2:9" x14ac:dyDescent="0.35">
      <c r="E29" s="177">
        <v>2045</v>
      </c>
      <c r="F29" s="179" t="s">
        <v>146</v>
      </c>
      <c r="G29" s="181">
        <v>3.3999999999999998E-3</v>
      </c>
      <c r="H29" s="216">
        <v>0</v>
      </c>
    </row>
    <row r="30" spans="2:9" x14ac:dyDescent="0.35">
      <c r="E30" s="177">
        <v>2046</v>
      </c>
      <c r="F30" s="179" t="s">
        <v>146</v>
      </c>
      <c r="G30" s="181">
        <v>3.3999999999999998E-3</v>
      </c>
      <c r="H30" s="216">
        <v>0</v>
      </c>
    </row>
    <row r="31" spans="2:9" x14ac:dyDescent="0.35">
      <c r="H31" s="104">
        <f>SUM(H11:H30)</f>
        <v>441976.144852</v>
      </c>
      <c r="I31" t="s">
        <v>39</v>
      </c>
    </row>
  </sheetData>
  <mergeCells count="1">
    <mergeCell ref="B11:C11"/>
  </mergeCell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EA106-E372-4769-AFEA-5EE5BA260967}">
  <sheetPr>
    <tabColor theme="9"/>
  </sheetPr>
  <dimension ref="B2:I32"/>
  <sheetViews>
    <sheetView workbookViewId="0">
      <selection activeCell="B33" sqref="B33"/>
    </sheetView>
  </sheetViews>
  <sheetFormatPr defaultRowHeight="14.5" x14ac:dyDescent="0.35"/>
  <cols>
    <col min="2" max="2" width="49.08984375" customWidth="1"/>
    <col min="3" max="3" width="27.54296875" bestFit="1" customWidth="1"/>
    <col min="4" max="4" width="15.08984375" bestFit="1" customWidth="1"/>
    <col min="5" max="5" width="16.54296875" bestFit="1" customWidth="1"/>
    <col min="6" max="6" width="16.54296875" customWidth="1"/>
    <col min="8" max="8" width="12.453125" customWidth="1"/>
  </cols>
  <sheetData>
    <row r="2" spans="2:8" ht="23.5" x14ac:dyDescent="0.55000000000000004">
      <c r="B2" s="122" t="str">
        <f>'Title Sheet'!B2</f>
        <v>Benefit-Cost Analysis Spreadsheet for the Englewood Line</v>
      </c>
      <c r="C2" s="24"/>
    </row>
    <row r="3" spans="2:8" ht="23.5" x14ac:dyDescent="0.55000000000000004">
      <c r="B3" s="122"/>
      <c r="C3" s="24"/>
    </row>
    <row r="4" spans="2:8" ht="24" thickBot="1" x14ac:dyDescent="0.6">
      <c r="B4" s="122"/>
      <c r="C4" s="24"/>
      <c r="D4" t="s">
        <v>41</v>
      </c>
      <c r="E4" t="s">
        <v>143</v>
      </c>
    </row>
    <row r="5" spans="2:8" ht="29.5" thickBot="1" x14ac:dyDescent="0.4">
      <c r="B5" s="1" t="s">
        <v>50</v>
      </c>
      <c r="C5" s="3" t="s">
        <v>51</v>
      </c>
      <c r="D5" s="114">
        <f>C16</f>
        <v>62755813.699425004</v>
      </c>
      <c r="E5" s="232">
        <v>39081166.783074409</v>
      </c>
      <c r="F5" s="13"/>
    </row>
    <row r="6" spans="2:8" x14ac:dyDescent="0.35">
      <c r="B6" s="1"/>
    </row>
    <row r="7" spans="2:8" x14ac:dyDescent="0.35">
      <c r="B7" s="24" t="s">
        <v>47</v>
      </c>
    </row>
    <row r="8" spans="2:8" x14ac:dyDescent="0.35">
      <c r="B8" s="233" t="s">
        <v>167</v>
      </c>
    </row>
    <row r="9" spans="2:8" x14ac:dyDescent="0.35">
      <c r="B9" s="2" t="s">
        <v>159</v>
      </c>
    </row>
    <row r="10" spans="2:8" ht="15" thickBot="1" x14ac:dyDescent="0.4"/>
    <row r="11" spans="2:8" ht="43.5" x14ac:dyDescent="0.35">
      <c r="B11" s="18" t="s">
        <v>28</v>
      </c>
      <c r="C11" s="19"/>
      <c r="E11" s="175" t="s">
        <v>26</v>
      </c>
      <c r="F11" s="175" t="s">
        <v>145</v>
      </c>
      <c r="G11" s="176" t="s">
        <v>46</v>
      </c>
      <c r="H11" s="176" t="s">
        <v>148</v>
      </c>
    </row>
    <row r="12" spans="2:8" ht="36" customHeight="1" x14ac:dyDescent="0.35">
      <c r="B12" s="274" t="s">
        <v>52</v>
      </c>
      <c r="C12" s="275"/>
      <c r="E12" s="177">
        <v>2027</v>
      </c>
      <c r="F12" s="183">
        <f>C14</f>
        <v>760676529.69000006</v>
      </c>
      <c r="G12" s="182">
        <v>8.2500000000000004E-2</v>
      </c>
      <c r="H12" s="216">
        <f>G12*F12</f>
        <v>62755813.699425004</v>
      </c>
    </row>
    <row r="13" spans="2:8" x14ac:dyDescent="0.35">
      <c r="B13" s="21" t="s">
        <v>53</v>
      </c>
      <c r="C13" s="20">
        <v>628658289</v>
      </c>
      <c r="D13" s="4"/>
      <c r="E13" s="177">
        <v>2028</v>
      </c>
      <c r="F13" s="183" t="s">
        <v>146</v>
      </c>
      <c r="G13" s="182">
        <v>8.2500000000000004E-2</v>
      </c>
      <c r="H13" s="216">
        <v>0</v>
      </c>
    </row>
    <row r="14" spans="2:8" x14ac:dyDescent="0.35">
      <c r="B14" s="21" t="s">
        <v>67</v>
      </c>
      <c r="C14" s="20">
        <f>(0.03*7)*C13+C13</f>
        <v>760676529.69000006</v>
      </c>
      <c r="D14" s="4"/>
      <c r="E14" s="177">
        <v>2029</v>
      </c>
      <c r="F14" s="183" t="s">
        <v>146</v>
      </c>
      <c r="G14" s="182">
        <v>8.2500000000000004E-2</v>
      </c>
      <c r="H14" s="216">
        <v>0</v>
      </c>
    </row>
    <row r="15" spans="2:8" x14ac:dyDescent="0.35">
      <c r="B15" s="21" t="s">
        <v>29</v>
      </c>
      <c r="C15" s="22">
        <v>8.2500000000000004E-2</v>
      </c>
      <c r="D15" s="4"/>
      <c r="E15" s="177">
        <v>2030</v>
      </c>
      <c r="F15" s="183" t="s">
        <v>146</v>
      </c>
      <c r="G15" s="182">
        <v>8.2500000000000004E-2</v>
      </c>
      <c r="H15" s="216">
        <v>0</v>
      </c>
    </row>
    <row r="16" spans="2:8" ht="29.5" thickBot="1" x14ac:dyDescent="0.4">
      <c r="B16" s="85" t="s">
        <v>68</v>
      </c>
      <c r="C16" s="86">
        <f>C15*C14</f>
        <v>62755813.699425004</v>
      </c>
      <c r="E16" s="177">
        <v>2031</v>
      </c>
      <c r="F16" s="183" t="s">
        <v>146</v>
      </c>
      <c r="G16" s="182">
        <v>8.2500000000000004E-2</v>
      </c>
      <c r="H16" s="216">
        <v>0</v>
      </c>
    </row>
    <row r="17" spans="2:9" ht="15" thickBot="1" x14ac:dyDescent="0.4">
      <c r="B17" s="78" t="s">
        <v>70</v>
      </c>
      <c r="C17" s="77">
        <f>C16/(1.07^7)</f>
        <v>39081166.783074409</v>
      </c>
      <c r="E17" s="177">
        <v>2032</v>
      </c>
      <c r="F17" s="183" t="s">
        <v>146</v>
      </c>
      <c r="G17" s="182">
        <v>8.2500000000000004E-2</v>
      </c>
      <c r="H17" s="216">
        <v>0</v>
      </c>
    </row>
    <row r="18" spans="2:9" x14ac:dyDescent="0.35">
      <c r="E18" s="177">
        <v>2033</v>
      </c>
      <c r="F18" s="183" t="s">
        <v>146</v>
      </c>
      <c r="G18" s="182">
        <v>8.2500000000000004E-2</v>
      </c>
      <c r="H18" s="216">
        <v>0</v>
      </c>
    </row>
    <row r="19" spans="2:9" x14ac:dyDescent="0.35">
      <c r="E19" s="177">
        <v>2034</v>
      </c>
      <c r="F19" s="183" t="s">
        <v>146</v>
      </c>
      <c r="G19" s="182">
        <v>8.2500000000000004E-2</v>
      </c>
      <c r="H19" s="216">
        <v>0</v>
      </c>
    </row>
    <row r="20" spans="2:9" x14ac:dyDescent="0.35">
      <c r="B20" s="76"/>
      <c r="C20" s="4"/>
      <c r="E20" s="177">
        <v>2035</v>
      </c>
      <c r="F20" s="183" t="s">
        <v>146</v>
      </c>
      <c r="G20" s="182">
        <v>8.2500000000000004E-2</v>
      </c>
      <c r="H20" s="216">
        <v>0</v>
      </c>
    </row>
    <row r="21" spans="2:9" x14ac:dyDescent="0.35">
      <c r="E21" s="177">
        <v>2036</v>
      </c>
      <c r="F21" s="183" t="s">
        <v>146</v>
      </c>
      <c r="G21" s="182">
        <v>8.2500000000000004E-2</v>
      </c>
      <c r="H21" s="216">
        <v>0</v>
      </c>
    </row>
    <row r="22" spans="2:9" x14ac:dyDescent="0.35">
      <c r="E22" s="177">
        <v>2037</v>
      </c>
      <c r="F22" s="183" t="s">
        <v>146</v>
      </c>
      <c r="G22" s="182">
        <v>8.2500000000000004E-2</v>
      </c>
      <c r="H22" s="216">
        <v>0</v>
      </c>
    </row>
    <row r="23" spans="2:9" x14ac:dyDescent="0.35">
      <c r="E23" s="177">
        <v>2038</v>
      </c>
      <c r="F23" s="183" t="s">
        <v>146</v>
      </c>
      <c r="G23" s="182">
        <v>8.2500000000000004E-2</v>
      </c>
      <c r="H23" s="216">
        <v>0</v>
      </c>
    </row>
    <row r="24" spans="2:9" x14ac:dyDescent="0.35">
      <c r="E24" s="177">
        <v>2039</v>
      </c>
      <c r="F24" s="183" t="s">
        <v>146</v>
      </c>
      <c r="G24" s="182">
        <v>8.2500000000000004E-2</v>
      </c>
      <c r="H24" s="216">
        <v>0</v>
      </c>
    </row>
    <row r="25" spans="2:9" x14ac:dyDescent="0.35">
      <c r="E25" s="177">
        <v>2040</v>
      </c>
      <c r="F25" s="183" t="s">
        <v>146</v>
      </c>
      <c r="G25" s="182">
        <v>8.2500000000000004E-2</v>
      </c>
      <c r="H25" s="216">
        <v>0</v>
      </c>
    </row>
    <row r="26" spans="2:9" x14ac:dyDescent="0.35">
      <c r="E26" s="177">
        <v>2041</v>
      </c>
      <c r="F26" s="183" t="s">
        <v>146</v>
      </c>
      <c r="G26" s="182">
        <v>8.2500000000000004E-2</v>
      </c>
      <c r="H26" s="216">
        <v>0</v>
      </c>
    </row>
    <row r="27" spans="2:9" x14ac:dyDescent="0.35">
      <c r="E27" s="177">
        <v>2042</v>
      </c>
      <c r="F27" s="183" t="s">
        <v>146</v>
      </c>
      <c r="G27" s="182">
        <v>8.2500000000000004E-2</v>
      </c>
      <c r="H27" s="216">
        <v>0</v>
      </c>
    </row>
    <row r="28" spans="2:9" x14ac:dyDescent="0.35">
      <c r="E28" s="177">
        <v>2043</v>
      </c>
      <c r="F28" s="183" t="s">
        <v>146</v>
      </c>
      <c r="G28" s="182">
        <v>8.2500000000000004E-2</v>
      </c>
      <c r="H28" s="216">
        <v>0</v>
      </c>
    </row>
    <row r="29" spans="2:9" x14ac:dyDescent="0.35">
      <c r="E29" s="177">
        <v>2044</v>
      </c>
      <c r="F29" s="183" t="s">
        <v>146</v>
      </c>
      <c r="G29" s="182">
        <v>8.2500000000000004E-2</v>
      </c>
      <c r="H29" s="216">
        <v>0</v>
      </c>
    </row>
    <row r="30" spans="2:9" x14ac:dyDescent="0.35">
      <c r="E30" s="177">
        <v>2045</v>
      </c>
      <c r="F30" s="183" t="s">
        <v>146</v>
      </c>
      <c r="G30" s="182">
        <v>8.2500000000000004E-2</v>
      </c>
      <c r="H30" s="216">
        <v>0</v>
      </c>
    </row>
    <row r="31" spans="2:9" x14ac:dyDescent="0.35">
      <c r="E31" s="177">
        <v>2046</v>
      </c>
      <c r="F31" s="183" t="s">
        <v>146</v>
      </c>
      <c r="G31" s="182">
        <v>8.2500000000000004E-2</v>
      </c>
      <c r="H31" s="216">
        <v>0</v>
      </c>
    </row>
    <row r="32" spans="2:9" x14ac:dyDescent="0.35">
      <c r="F32" s="114"/>
      <c r="H32" s="114">
        <f>SUM(H12:H31)</f>
        <v>62755813.699425004</v>
      </c>
      <c r="I32" t="s">
        <v>56</v>
      </c>
    </row>
  </sheetData>
  <mergeCells count="1">
    <mergeCell ref="B12:C12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4B1CF629A4D64687516B856EA288DC" ma:contentTypeVersion="18" ma:contentTypeDescription="Create a new document." ma:contentTypeScope="" ma:versionID="4aea9767bd408eb087d9e81f874a34a6">
  <xsd:schema xmlns:xsd="http://www.w3.org/2001/XMLSchema" xmlns:xs="http://www.w3.org/2001/XMLSchema" xmlns:p="http://schemas.microsoft.com/office/2006/metadata/properties" xmlns:ns1="http://schemas.microsoft.com/sharepoint/v3" xmlns:ns2="f310ada9-4477-4495-920e-bc27981ea867" xmlns:ns3="824f7506-ec71-44e7-a9c2-b19a484d436a" targetNamespace="http://schemas.microsoft.com/office/2006/metadata/properties" ma:root="true" ma:fieldsID="d7098d98c6c117327d115f4b04ec7d8f" ns1:_="" ns2:_="" ns3:_="">
    <xsd:import namespace="http://schemas.microsoft.com/sharepoint/v3"/>
    <xsd:import namespace="f310ada9-4477-4495-920e-bc27981ea867"/>
    <xsd:import namespace="824f7506-ec71-44e7-a9c2-b19a484d4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10ada9-4477-4495-920e-bc27981ea8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5869760-63e5-4ad7-8e1d-ce12b2e8d0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4f7506-ec71-44e7-a9c2-b19a484d436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d55d466-fc14-410a-860f-d0f1222dda29}" ma:internalName="TaxCatchAll" ma:showField="CatchAllData" ma:web="824f7506-ec71-44e7-a9c2-b19a484d4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824f7506-ec71-44e7-a9c2-b19a484d436a" xsi:nil="true"/>
    <_ip_UnifiedCompliancePolicyProperties xmlns="http://schemas.microsoft.com/sharepoint/v3" xsi:nil="true"/>
    <lcf76f155ced4ddcb4097134ff3c332f xmlns="f310ada9-4477-4495-920e-bc27981ea86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8DC1FE-0968-44AB-835F-4FEB8750B4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310ada9-4477-4495-920e-bc27981ea867"/>
    <ds:schemaRef ds:uri="824f7506-ec71-44e7-a9c2-b19a484d4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13FFB5-5BD2-4A8D-AF63-5D2D877A0D57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sharepoint/v3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824f7506-ec71-44e7-a9c2-b19a484d436a"/>
    <ds:schemaRef ds:uri="f310ada9-4477-4495-920e-bc27981ea867"/>
  </ds:schemaRefs>
</ds:datastoreItem>
</file>

<file path=customXml/itemProps3.xml><?xml version="1.0" encoding="utf-8"?>
<ds:datastoreItem xmlns:ds="http://schemas.openxmlformats.org/officeDocument/2006/customXml" ds:itemID="{02739C98-0A41-4A5C-88D5-8537012EB9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Title Sheet</vt:lpstr>
      <vt:lpstr>About the Spreadsheet Tabs</vt:lpstr>
      <vt:lpstr>BCA Summary</vt:lpstr>
      <vt:lpstr>Default Values</vt:lpstr>
      <vt:lpstr>BCA Summary Nominal</vt:lpstr>
      <vt:lpstr>BCA Summary Discounted</vt:lpstr>
      <vt:lpstr>Project Capital Costs</vt:lpstr>
      <vt:lpstr>O&amp;M Costs</vt:lpstr>
      <vt:lpstr>Traffic Safety Benefits</vt:lpstr>
      <vt:lpstr>Property Value Benefits</vt:lpstr>
      <vt:lpstr>Remediation Benefits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Leao</dc:creator>
  <cp:lastModifiedBy>Price Armstrong</cp:lastModifiedBy>
  <dcterms:created xsi:type="dcterms:W3CDTF">2015-06-05T18:17:20Z</dcterms:created>
  <dcterms:modified xsi:type="dcterms:W3CDTF">2022-04-12T11:53:08Z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0x0101008B4B1CF629A4D64687516B856EA288DC</vt:lpwstr>
  </property>
  <property fmtid="{D5CDD505-2E9C-101B-9397-08002B2CF9AE}" pid="3" name="MediaServiceImageTags">
    <vt:lpwstr/>
  </property>
</Properties>
</file>